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7446A7-2787-4878-BCB2-CA81DA3E8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C17" i="1"/>
  <c r="Q21" i="1"/>
  <c r="C11" i="1"/>
  <c r="C12" i="1"/>
  <c r="F15" i="1" l="1"/>
  <c r="C16" i="1"/>
  <c r="D18" i="1" s="1"/>
  <c r="C15" i="1"/>
  <c r="O22" i="1"/>
  <c r="S22" i="1" s="1"/>
  <c r="O21" i="1"/>
  <c r="S21" i="1" s="1"/>
  <c r="S19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<sst xmlns="http://schemas.openxmlformats.org/spreadsheetml/2006/main" count="57" uniqueCount="54">
  <si>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</si>
  <si>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</si>
  <si>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</si>
  <si>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</si>
  <si>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</si>
  <si>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</si>
  <si>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</si>
  <si>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</si>
  <si>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</si>
  <si>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</si>
  <si>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</si>
  <si>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</si>
  <si>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</si>
  <si>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</si>
  <si>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</si>
  <si>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</si>
  <si>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</si>
  <si>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</si>
  <si>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</si>
  <si>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</si>
  <si>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</si>
  <si>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</si>
  <si>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</si>
  <si>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</si>
  <si>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</si>
  <si>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</si>
  <si>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</si>
  <si>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</si>
  <si>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</si>
  <si>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</si>
  <si>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</si>
  <si>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</si>
  <si>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</si>
  <si>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</si>
  <si>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</si>
  <si>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</si>
  <si>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</si>
  <si>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</si>
  <si>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</si>
  <si>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</si>
  <si>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G1109-1267</t>
  </si>
  <si>
    <t>G1109-1267_Equ.xls</t>
  </si>
  <si>
    <t>EC</t>
  </si>
  <si>
    <t>Equ</t>
  </si>
  <si>
    <t>VSX</t>
  </si>
  <si>
    <t>IBVS 6011</t>
  </si>
  <si>
    <t>II</t>
  </si>
  <si>
    <t>CCD</t>
  </si>
  <si>
    <t>ASAS J211408+1022.2 / GSC 1109-1267</t>
  </si>
  <si>
    <t xml:space="preserve">Mag </t>
  </si>
  <si>
    <t>Next ToM-P</t>
  </si>
  <si>
    <t>Next ToM-S</t>
  </si>
  <si>
    <t>12.48 (0.52)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</si>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</sst>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1109-1267 -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63-44D3-8887-627A2DEA2A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2.961500154924579E-3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63-44D3-8887-627A2DEA2A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63-44D3-8887-627A2DEA2A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63-44D3-8887-627A2DEA2A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63-44D3-8887-627A2DEA2A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63-44D3-8887-627A2DEA2A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63-44D3-8887-627A2DEA2A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2.961500154924579E-3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63-44D3-8887-627A2DEA2A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63-44D3-8887-627A2DEA2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61280"/>
        <c:axId val="1"/>
      </c:scatterChart>
      <c:valAx>
        <c:axId val="549561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61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4668D7-8E18-CEF8-47FE-3A26219C8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41</v>
      </c>
    </row>
    <row r="2" spans="1:7" x14ac:dyDescent="0.2">
      <c r="A2" t="s">
        <v>23</v>
      </c>
      <c r="B2" t="s">
        <v>42</v>
      </c>
      <c r="C2" s="28" t="s">
        <v>39</v>
      </c>
      <c r="D2" s="3" t="s">
        <v>43</v>
      </c>
      <c r="E2" s="29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54987.856999999844</v>
      </c>
      <c r="D7" s="27" t="s">
        <v>44</v>
      </c>
    </row>
    <row r="8" spans="1:7" x14ac:dyDescent="0.2">
      <c r="A8" t="s">
        <v>3</v>
      </c>
      <c r="C8" s="32">
        <v>0.41974099999999998</v>
      </c>
      <c r="D8" s="27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1.4456920453622548E-6</v>
      </c>
      <c r="D12" s="3"/>
      <c r="E12" s="37" t="s">
        <v>49</v>
      </c>
      <c r="F12" s="38" t="s">
        <v>52</v>
      </c>
      <c r="G12" s="33" t="s">
        <v>53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35</v>
      </c>
      <c r="F13" s="39">
        <v>1</v>
      </c>
    </row>
    <row r="14" spans="1:7" x14ac:dyDescent="0.2">
      <c r="A14" s="10"/>
      <c r="B14" s="10"/>
      <c r="C14" s="10"/>
      <c r="D14" s="14"/>
      <c r="E14" s="34" t="s">
        <v>32</v>
      </c>
      <c r="F14" s="40">
        <f ca="1">NOW()+15018.5+$C$9/24</f>
        <v>60536.831404282406</v>
      </c>
    </row>
    <row r="15" spans="1:7" x14ac:dyDescent="0.2">
      <c r="A15" s="12" t="s">
        <v>17</v>
      </c>
      <c r="B15" s="10"/>
      <c r="C15" s="13">
        <f ca="1">(C7+C11)+(C8+C12)*INT(MAX(F21:F3533))</f>
        <v>55847.489528777151</v>
      </c>
      <c r="D15" s="14"/>
      <c r="E15" s="34" t="s">
        <v>36</v>
      </c>
      <c r="F15" s="40">
        <f ca="1">ROUND(2*($F$14-$C$7)/$C$8,0)/2+$F$13</f>
        <v>13221</v>
      </c>
    </row>
    <row r="16" spans="1:7" x14ac:dyDescent="0.2">
      <c r="A16" s="15" t="s">
        <v>4</v>
      </c>
      <c r="B16" s="10"/>
      <c r="C16" s="16">
        <f ca="1">+C8+C12</f>
        <v>0.41974244569204533</v>
      </c>
      <c r="D16" s="14"/>
      <c r="E16" s="34" t="s">
        <v>37</v>
      </c>
      <c r="F16" s="40">
        <f ca="1">ROUND(2*($F$14-$C$15)/$C$16,0)/2+$F$13</f>
        <v>11173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/>
      <c r="E17" s="35" t="s">
        <v>50</v>
      </c>
      <c r="F17" s="41">
        <f ca="1">+$C$15+$C$16*$F$16-15018.5-$C$9/24</f>
        <v>45519.167707827706</v>
      </c>
    </row>
    <row r="18" spans="1:19" ht="14.25" thickTop="1" thickBot="1" x14ac:dyDescent="0.25">
      <c r="A18" s="15" t="s">
        <v>5</v>
      </c>
      <c r="B18" s="10"/>
      <c r="C18" s="17">
        <f ca="1">+C15</f>
        <v>55847.489528777151</v>
      </c>
      <c r="D18" s="18">
        <f ca="1">+C16</f>
        <v>0.41974244569204533</v>
      </c>
      <c r="E18" s="36" t="s">
        <v>51</v>
      </c>
      <c r="F18" s="42">
        <f ca="1">+($C$15+$C$16*$F$16)-($C$16/2)-15018.5-$C$9/24</f>
        <v>45518.957836604859</v>
      </c>
    </row>
    <row r="19" spans="1:19" ht="13.5" thickTop="1" x14ac:dyDescent="0.2">
      <c r="A19" s="22" t="s">
        <v>33</v>
      </c>
      <c r="E19" s="23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9" x14ac:dyDescent="0.2">
      <c r="A21" t="str">
        <f>D7</f>
        <v>VSX</v>
      </c>
      <c r="C21" s="8">
        <f>C$7</f>
        <v>54987.856999999844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39969.356999999844</v>
      </c>
      <c r="S21">
        <f ca="1">+(O21-G21)^2</f>
        <v>0</v>
      </c>
    </row>
    <row r="22" spans="1:19" x14ac:dyDescent="0.2">
      <c r="A22" s="30" t="s">
        <v>45</v>
      </c>
      <c r="B22" s="31" t="s">
        <v>46</v>
      </c>
      <c r="C22" s="30">
        <v>55847.699399999998</v>
      </c>
      <c r="D22" s="30">
        <v>5.0000000000000001E-4</v>
      </c>
      <c r="E22">
        <f>+(C22-C$7)/C$8</f>
        <v>2048.5070555417606</v>
      </c>
      <c r="F22">
        <f>ROUND(2*E22,0)/2</f>
        <v>2048.5</v>
      </c>
      <c r="G22">
        <f>+C22-(C$7+F22*C$8)</f>
        <v>2.961500154924579E-3</v>
      </c>
      <c r="I22">
        <f>+G22</f>
        <v>2.961500154924579E-3</v>
      </c>
      <c r="O22">
        <f ca="1">+C$11+C$12*$F22</f>
        <v>2.961500154924579E-3</v>
      </c>
      <c r="Q22" s="2">
        <f>+C22-15018.5</f>
        <v>40829.199399999998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2024-08-14T07:57:13Z</dcterms:modified>
</cp:coreProperties>
</file>