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966E6D4-E5EE-4DEE-8CAE-191A55D700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  <sheet name="Active 3" sheetId="3" r:id="rId3"/>
    <sheet name="Active 4" sheetId="4" r:id="rId4"/>
  </sheets>
  <calcPr calcId="181029"/>
</workbook>
</file>

<file path=xl/calcChain.xml><?xml version="1.0" encoding="utf-8"?>
<calcChain xmlns="http://schemas.openxmlformats.org/spreadsheetml/2006/main">
  <c r="F14" i="4" l="1"/>
  <c r="F14" i="3"/>
  <c r="F14" i="2"/>
  <c r="F14" i="1"/>
  <c r="F27" i="1"/>
  <c r="E27" i="4"/>
  <c r="F27" i="4"/>
  <c r="G27" i="4"/>
  <c r="J27" i="4"/>
  <c r="Q27" i="4"/>
  <c r="E28" i="4"/>
  <c r="F28" i="4"/>
  <c r="G28" i="4"/>
  <c r="J28" i="4"/>
  <c r="Q28" i="4"/>
  <c r="E27" i="3"/>
  <c r="F27" i="3"/>
  <c r="G27" i="3"/>
  <c r="J27" i="3"/>
  <c r="Q27" i="3"/>
  <c r="E28" i="3"/>
  <c r="F28" i="3"/>
  <c r="G28" i="3"/>
  <c r="J28" i="3"/>
  <c r="Q28" i="3"/>
  <c r="E27" i="2"/>
  <c r="F27" i="2"/>
  <c r="G27" i="2"/>
  <c r="J27" i="2"/>
  <c r="Q27" i="2"/>
  <c r="E28" i="2"/>
  <c r="F28" i="2"/>
  <c r="G28" i="2"/>
  <c r="J28" i="2"/>
  <c r="Q28" i="2"/>
  <c r="Q27" i="1"/>
  <c r="Q28" i="1"/>
  <c r="G11" i="1"/>
  <c r="F11" i="1"/>
  <c r="C17" i="1"/>
  <c r="C7" i="4"/>
  <c r="F11" i="4"/>
  <c r="E22" i="4"/>
  <c r="F22" i="4"/>
  <c r="G22" i="4"/>
  <c r="I22" i="4"/>
  <c r="E23" i="4"/>
  <c r="F23" i="4"/>
  <c r="G23" i="4"/>
  <c r="I23" i="4"/>
  <c r="E24" i="4"/>
  <c r="F24" i="4"/>
  <c r="G24" i="4"/>
  <c r="I24" i="4"/>
  <c r="E25" i="4"/>
  <c r="F25" i="4"/>
  <c r="G25" i="4"/>
  <c r="I25" i="4"/>
  <c r="E26" i="4"/>
  <c r="F26" i="4"/>
  <c r="G26" i="4"/>
  <c r="I26" i="4"/>
  <c r="G11" i="4"/>
  <c r="E21" i="4"/>
  <c r="F21" i="4"/>
  <c r="G21" i="4"/>
  <c r="H21" i="4"/>
  <c r="C17" i="4"/>
  <c r="Q21" i="4"/>
  <c r="Q22" i="4"/>
  <c r="Q23" i="4"/>
  <c r="Q24" i="4"/>
  <c r="Q25" i="4"/>
  <c r="Q26" i="4"/>
  <c r="C7" i="3"/>
  <c r="F11" i="3"/>
  <c r="G11" i="3"/>
  <c r="C17" i="3"/>
  <c r="E21" i="3"/>
  <c r="F21" i="3"/>
  <c r="G21" i="3"/>
  <c r="H21" i="3"/>
  <c r="Q21" i="3"/>
  <c r="E22" i="3"/>
  <c r="F22" i="3"/>
  <c r="G22" i="3"/>
  <c r="I22" i="3"/>
  <c r="Q22" i="3"/>
  <c r="E23" i="3"/>
  <c r="F23" i="3"/>
  <c r="G23" i="3"/>
  <c r="I23" i="3"/>
  <c r="Q23" i="3"/>
  <c r="E24" i="3"/>
  <c r="F24" i="3"/>
  <c r="G24" i="3"/>
  <c r="I24" i="3"/>
  <c r="Q24" i="3"/>
  <c r="E25" i="3"/>
  <c r="F25" i="3"/>
  <c r="G25" i="3"/>
  <c r="I25" i="3"/>
  <c r="Q25" i="3"/>
  <c r="E26" i="3"/>
  <c r="F26" i="3"/>
  <c r="G26" i="3"/>
  <c r="I26" i="3"/>
  <c r="Q26" i="3"/>
  <c r="F11" i="2"/>
  <c r="E22" i="2"/>
  <c r="F22" i="2"/>
  <c r="E24" i="2"/>
  <c r="F24" i="2"/>
  <c r="G24" i="2"/>
  <c r="I24" i="2"/>
  <c r="C7" i="2"/>
  <c r="E23" i="2"/>
  <c r="F23" i="2"/>
  <c r="G11" i="2"/>
  <c r="E21" i="2"/>
  <c r="F21" i="2"/>
  <c r="G21" i="2"/>
  <c r="H21" i="2"/>
  <c r="C17" i="2"/>
  <c r="Q21" i="2"/>
  <c r="Q22" i="2"/>
  <c r="Q23" i="2"/>
  <c r="Q24" i="2"/>
  <c r="Q25" i="2"/>
  <c r="Q26" i="2"/>
  <c r="E22" i="1"/>
  <c r="F22" i="1"/>
  <c r="G22" i="1"/>
  <c r="I22" i="1"/>
  <c r="E23" i="1"/>
  <c r="F23" i="1"/>
  <c r="Q22" i="1"/>
  <c r="Q24" i="1"/>
  <c r="Q26" i="1"/>
  <c r="Q25" i="1"/>
  <c r="Q23" i="1"/>
  <c r="C8" i="1"/>
  <c r="C7" i="1"/>
  <c r="E25" i="1"/>
  <c r="F25" i="1"/>
  <c r="G25" i="1"/>
  <c r="I25" i="1"/>
  <c r="Q21" i="1"/>
  <c r="G23" i="1"/>
  <c r="E24" i="1"/>
  <c r="F24" i="1"/>
  <c r="G24" i="1"/>
  <c r="I24" i="1"/>
  <c r="G22" i="2"/>
  <c r="E25" i="2"/>
  <c r="F25" i="2"/>
  <c r="E28" i="1"/>
  <c r="F28" i="1"/>
  <c r="G28" i="1"/>
  <c r="J28" i="1"/>
  <c r="E21" i="1"/>
  <c r="F21" i="1"/>
  <c r="G21" i="1"/>
  <c r="H21" i="1"/>
  <c r="E26" i="1"/>
  <c r="F26" i="1"/>
  <c r="G26" i="1"/>
  <c r="I26" i="1"/>
  <c r="G23" i="2"/>
  <c r="I23" i="2"/>
  <c r="E27" i="1"/>
  <c r="G27" i="1"/>
  <c r="J27" i="1" s="1"/>
  <c r="E26" i="2"/>
  <c r="F26" i="2"/>
  <c r="G26" i="2"/>
  <c r="I26" i="2"/>
  <c r="G25" i="2"/>
  <c r="I25" i="2"/>
  <c r="I23" i="1"/>
  <c r="I22" i="2"/>
  <c r="C11" i="2"/>
  <c r="C12" i="4"/>
  <c r="C12" i="1"/>
  <c r="C12" i="3"/>
  <c r="C11" i="4"/>
  <c r="C11" i="1"/>
  <c r="C12" i="2"/>
  <c r="F15" i="4" l="1"/>
  <c r="F15" i="3"/>
  <c r="F15" i="2"/>
  <c r="F15" i="1"/>
  <c r="C16" i="4"/>
  <c r="D18" i="4" s="1"/>
  <c r="C16" i="3"/>
  <c r="D18" i="3" s="1"/>
  <c r="O23" i="4"/>
  <c r="R23" i="4" s="1"/>
  <c r="C15" i="4"/>
  <c r="O26" i="4"/>
  <c r="R26" i="4" s="1"/>
  <c r="O24" i="4"/>
  <c r="R24" i="4" s="1"/>
  <c r="O22" i="4"/>
  <c r="R22" i="4" s="1"/>
  <c r="O21" i="4"/>
  <c r="O28" i="4"/>
  <c r="R28" i="4" s="1"/>
  <c r="O25" i="4"/>
  <c r="R25" i="4" s="1"/>
  <c r="O27" i="4"/>
  <c r="R27" i="4" s="1"/>
  <c r="C16" i="2"/>
  <c r="D18" i="2" s="1"/>
  <c r="C16" i="1"/>
  <c r="D18" i="1" s="1"/>
  <c r="O24" i="1"/>
  <c r="R24" i="1" s="1"/>
  <c r="O22" i="1"/>
  <c r="R22" i="1" s="1"/>
  <c r="O28" i="1"/>
  <c r="R28" i="1" s="1"/>
  <c r="C15" i="1"/>
  <c r="O26" i="1"/>
  <c r="R26" i="1" s="1"/>
  <c r="O21" i="1"/>
  <c r="O27" i="1"/>
  <c r="R27" i="1" s="1"/>
  <c r="O25" i="1"/>
  <c r="R25" i="1" s="1"/>
  <c r="O23" i="1"/>
  <c r="R23" i="1" s="1"/>
  <c r="O28" i="2"/>
  <c r="R28" i="2" s="1"/>
  <c r="C15" i="2"/>
  <c r="O25" i="2"/>
  <c r="R25" i="2" s="1"/>
  <c r="O22" i="2"/>
  <c r="R22" i="2" s="1"/>
  <c r="O23" i="2"/>
  <c r="R23" i="2" s="1"/>
  <c r="O26" i="2"/>
  <c r="R26" i="2" s="1"/>
  <c r="O24" i="2"/>
  <c r="R24" i="2" s="1"/>
  <c r="O21" i="2"/>
  <c r="O27" i="2"/>
  <c r="R27" i="2" s="1"/>
  <c r="C11" i="3"/>
  <c r="F16" i="4" l="1"/>
  <c r="F17" i="4" s="1"/>
  <c r="F16" i="2"/>
  <c r="F18" i="2" s="1"/>
  <c r="F16" i="1"/>
  <c r="F18" i="1" s="1"/>
  <c r="R18" i="1"/>
  <c r="R18" i="4"/>
  <c r="O22" i="3"/>
  <c r="R22" i="3" s="1"/>
  <c r="O24" i="3"/>
  <c r="R24" i="3" s="1"/>
  <c r="O27" i="3"/>
  <c r="R27" i="3" s="1"/>
  <c r="C15" i="3"/>
  <c r="O25" i="3"/>
  <c r="R25" i="3" s="1"/>
  <c r="O28" i="3"/>
  <c r="R28" i="3" s="1"/>
  <c r="O23" i="3"/>
  <c r="R23" i="3" s="1"/>
  <c r="O21" i="3"/>
  <c r="O26" i="3"/>
  <c r="R26" i="3" s="1"/>
  <c r="C18" i="2"/>
  <c r="C18" i="4"/>
  <c r="R18" i="2"/>
  <c r="C18" i="1"/>
  <c r="F18" i="4" l="1"/>
  <c r="F16" i="3"/>
  <c r="F18" i="3" s="1"/>
  <c r="F17" i="2"/>
  <c r="F17" i="1"/>
  <c r="C18" i="3"/>
  <c r="R18" i="3"/>
  <c r="F17" i="3" l="1"/>
</calcChain>
</file>

<file path=xl/sharedStrings.xml><?xml version="1.0" encoding="utf-8"?>
<sst xmlns="http://schemas.openxmlformats.org/spreadsheetml/2006/main" count="243" uniqueCount="53">
  <si>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</si>
  <si>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</si>
  <si>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</si>
  <si>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</si>
  <si>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</si>
  <si>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</si>
  <si>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</si>
  <si>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</si>
  <si>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</si>
  <si>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</si>
  <si>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</si>
  <si>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</si>
  <si>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</si>
  <si>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</si>
  <si>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</si>
  <si>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</si>
  <si>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</si>
  <si>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</si>
  <si>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</si>
  <si>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</si>
  <si>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</si>
  <si>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</si>
  <si>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</si>
  <si>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</si>
  <si>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</si>
  <si>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</si>
  <si>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</si>
  <si>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</si>
  <si>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</si>
  <si>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IBVS 5502</t>
  </si>
  <si>
    <t>IBVS</t>
  </si>
  <si>
    <t>EB</t>
  </si>
  <si>
    <t># of data points:</t>
  </si>
  <si>
    <t>BW Eri / GSC 06462-00610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</si>
  <si>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</si>
  <si>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</si>
  <si>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</si>
  <si>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</si>
  <si>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</si>
  <si>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5843</t>
  </si>
  <si>
    <t>I</t>
  </si>
  <si>
    <t>II</t>
  </si>
  <si>
    <t>Add cycle</t>
  </si>
  <si>
    <t>Old Cycle</t>
  </si>
  <si>
    <t>OEJV 0142</t>
  </si>
  <si>
    <t>All sheets active</t>
  </si>
  <si>
    <t>CCD</t>
  </si>
  <si>
    <t>Next ToM-P</t>
  </si>
  <si>
    <t>Next ToM-S</t>
  </si>
  <si>
    <t>VSX</t>
  </si>
  <si>
    <t>9.50-10.12</t>
  </si>
  <si>
    <t xml:space="preserve">Mag B 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</si>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</sst>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0" xfId="0" applyFont="1" applyAlignment="1"/>
    <xf numFmtId="22" fontId="0" fillId="0" borderId="0" xfId="0" applyNumberFormat="1" applyAlignment="1"/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Eri - O-C Diagr.</a:t>
            </a:r>
          </a:p>
        </c:rich>
      </c:tx>
      <c:layout>
        <c:manualLayout>
          <c:xMode val="edge"/>
          <c:yMode val="edge"/>
          <c:x val="0.3812604361449972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14434</c:v>
                </c:pt>
                <c:pt idx="2">
                  <c:v>14536</c:v>
                </c:pt>
                <c:pt idx="3">
                  <c:v>16606.5</c:v>
                </c:pt>
                <c:pt idx="4">
                  <c:v>16631.5</c:v>
                </c:pt>
                <c:pt idx="5">
                  <c:v>16631.5</c:v>
                </c:pt>
                <c:pt idx="6">
                  <c:v>19473</c:v>
                </c:pt>
                <c:pt idx="7">
                  <c:v>19477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A1-4CAB-8EEF-682893183A6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1'!$D$22:$D$50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1.4E-3</c:v>
                  </c:pt>
                  <c:pt idx="5">
                    <c:v>0.02</c:v>
                  </c:pt>
                  <c:pt idx="6">
                    <c:v>8.0000000000000002E-3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14434</c:v>
                </c:pt>
                <c:pt idx="2">
                  <c:v>14536</c:v>
                </c:pt>
                <c:pt idx="3">
                  <c:v>16606.5</c:v>
                </c:pt>
                <c:pt idx="4">
                  <c:v>16631.5</c:v>
                </c:pt>
                <c:pt idx="5">
                  <c:v>16631.5</c:v>
                </c:pt>
                <c:pt idx="6">
                  <c:v>19473</c:v>
                </c:pt>
                <c:pt idx="7">
                  <c:v>19477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0.11945179999747779</c:v>
                </c:pt>
                <c:pt idx="2">
                  <c:v>0.10426720000396017</c:v>
                </c:pt>
                <c:pt idx="3">
                  <c:v>0.14031755000178237</c:v>
                </c:pt>
                <c:pt idx="4">
                  <c:v>9.0685050003230572E-2</c:v>
                </c:pt>
                <c:pt idx="5">
                  <c:v>0.12858504999894649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A1-4CAB-8EEF-682893183A6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1.1000000000000001E-3</c:v>
                  </c:pt>
                  <c:pt idx="5">
                    <c:v>1.4E-3</c:v>
                  </c:pt>
                  <c:pt idx="6">
                    <c:v>0.02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1.1000000000000001E-3</c:v>
                  </c:pt>
                  <c:pt idx="5">
                    <c:v>1.4E-3</c:v>
                  </c:pt>
                  <c:pt idx="6">
                    <c:v>0.02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14434</c:v>
                </c:pt>
                <c:pt idx="2">
                  <c:v>14536</c:v>
                </c:pt>
                <c:pt idx="3">
                  <c:v>16606.5</c:v>
                </c:pt>
                <c:pt idx="4">
                  <c:v>16631.5</c:v>
                </c:pt>
                <c:pt idx="5">
                  <c:v>16631.5</c:v>
                </c:pt>
                <c:pt idx="6">
                  <c:v>19473</c:v>
                </c:pt>
                <c:pt idx="7">
                  <c:v>19477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6">
                  <c:v>-0.1574629000024288</c:v>
                </c:pt>
                <c:pt idx="7">
                  <c:v>0.15662790000351379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A1-4CAB-8EEF-682893183A6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14434</c:v>
                </c:pt>
                <c:pt idx="2">
                  <c:v>14536</c:v>
                </c:pt>
                <c:pt idx="3">
                  <c:v>16606.5</c:v>
                </c:pt>
                <c:pt idx="4">
                  <c:v>16631.5</c:v>
                </c:pt>
                <c:pt idx="5">
                  <c:v>16631.5</c:v>
                </c:pt>
                <c:pt idx="6">
                  <c:v>19473</c:v>
                </c:pt>
                <c:pt idx="7">
                  <c:v>19477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A1-4CAB-8EEF-682893183A6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14434</c:v>
                </c:pt>
                <c:pt idx="2">
                  <c:v>14536</c:v>
                </c:pt>
                <c:pt idx="3">
                  <c:v>16606.5</c:v>
                </c:pt>
                <c:pt idx="4">
                  <c:v>16631.5</c:v>
                </c:pt>
                <c:pt idx="5">
                  <c:v>16631.5</c:v>
                </c:pt>
                <c:pt idx="6">
                  <c:v>19473</c:v>
                </c:pt>
                <c:pt idx="7">
                  <c:v>19477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A1-4CAB-8EEF-682893183A6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14434</c:v>
                </c:pt>
                <c:pt idx="2">
                  <c:v>14536</c:v>
                </c:pt>
                <c:pt idx="3">
                  <c:v>16606.5</c:v>
                </c:pt>
                <c:pt idx="4">
                  <c:v>16631.5</c:v>
                </c:pt>
                <c:pt idx="5">
                  <c:v>16631.5</c:v>
                </c:pt>
                <c:pt idx="6">
                  <c:v>19473</c:v>
                </c:pt>
                <c:pt idx="7">
                  <c:v>19477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A1-4CAB-8EEF-682893183A6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14434</c:v>
                </c:pt>
                <c:pt idx="2">
                  <c:v>14536</c:v>
                </c:pt>
                <c:pt idx="3">
                  <c:v>16606.5</c:v>
                </c:pt>
                <c:pt idx="4">
                  <c:v>16631.5</c:v>
                </c:pt>
                <c:pt idx="5">
                  <c:v>16631.5</c:v>
                </c:pt>
                <c:pt idx="6">
                  <c:v>19473</c:v>
                </c:pt>
                <c:pt idx="7">
                  <c:v>19477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A1-4CAB-8EEF-682893183A6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14434</c:v>
                </c:pt>
                <c:pt idx="2">
                  <c:v>14536</c:v>
                </c:pt>
                <c:pt idx="3">
                  <c:v>16606.5</c:v>
                </c:pt>
                <c:pt idx="4">
                  <c:v>16631.5</c:v>
                </c:pt>
                <c:pt idx="5">
                  <c:v>16631.5</c:v>
                </c:pt>
                <c:pt idx="6">
                  <c:v>19473</c:v>
                </c:pt>
                <c:pt idx="7">
                  <c:v>19477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0.48517121106401018</c:v>
                </c:pt>
                <c:pt idx="1">
                  <c:v>0.14037534193058232</c:v>
                </c:pt>
                <c:pt idx="2">
                  <c:v>0.13793879082544103</c:v>
                </c:pt>
                <c:pt idx="3">
                  <c:v>8.8479192166665777E-2</c:v>
                </c:pt>
                <c:pt idx="4">
                  <c:v>8.7881998268346806E-2</c:v>
                </c:pt>
                <c:pt idx="5">
                  <c:v>8.7881998268346806E-2</c:v>
                </c:pt>
                <c:pt idx="6">
                  <c:v>2.0004939785415177E-2</c:v>
                </c:pt>
                <c:pt idx="7">
                  <c:v>1.9909388761684133E-2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A1-4CAB-8EEF-68289318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84424"/>
        <c:axId val="1"/>
      </c:scatterChart>
      <c:valAx>
        <c:axId val="794284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84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32165587540652"/>
          <c:y val="0.91925596256989606"/>
          <c:w val="0.7318260338620838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Eri - O-C Diagr.</a:t>
            </a:r>
          </a:p>
        </c:rich>
      </c:tx>
      <c:layout>
        <c:manualLayout>
          <c:xMode val="edge"/>
          <c:yMode val="edge"/>
          <c:x val="0.3812604361449972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1421712046357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6936.5</c:v>
                </c:pt>
                <c:pt idx="2">
                  <c:v>6985.5</c:v>
                </c:pt>
                <c:pt idx="3">
                  <c:v>7980.5</c:v>
                </c:pt>
                <c:pt idx="4">
                  <c:v>7992.5</c:v>
                </c:pt>
                <c:pt idx="5">
                  <c:v>7992.5</c:v>
                </c:pt>
                <c:pt idx="6">
                  <c:v>9357.5</c:v>
                </c:pt>
                <c:pt idx="7">
                  <c:v>9360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63-4784-B543-4037B5F8E3F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2'!$D$22:$D$50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1.4E-3</c:v>
                  </c:pt>
                  <c:pt idx="5">
                    <c:v>0.02</c:v>
                  </c:pt>
                  <c:pt idx="6">
                    <c:v>8.0000000000000002E-3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6936.5</c:v>
                </c:pt>
                <c:pt idx="2">
                  <c:v>6985.5</c:v>
                </c:pt>
                <c:pt idx="3">
                  <c:v>7980.5</c:v>
                </c:pt>
                <c:pt idx="4">
                  <c:v>7992.5</c:v>
                </c:pt>
                <c:pt idx="5">
                  <c:v>7992.5</c:v>
                </c:pt>
                <c:pt idx="6">
                  <c:v>9357.5</c:v>
                </c:pt>
                <c:pt idx="7">
                  <c:v>9360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-0.21056000000680797</c:v>
                </c:pt>
                <c:pt idx="2">
                  <c:v>-0.20441999999457039</c:v>
                </c:pt>
                <c:pt idx="3">
                  <c:v>-0.19792000000597909</c:v>
                </c:pt>
                <c:pt idx="4">
                  <c:v>-0.22929999999905704</c:v>
                </c:pt>
                <c:pt idx="5">
                  <c:v>-0.19140000000334112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63-4784-B543-4037B5F8E3F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1.1000000000000001E-3</c:v>
                  </c:pt>
                  <c:pt idx="5">
                    <c:v>1.4E-3</c:v>
                  </c:pt>
                  <c:pt idx="6">
                    <c:v>0.02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'Active 2'!$D$21:$D$50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1.1000000000000001E-3</c:v>
                  </c:pt>
                  <c:pt idx="5">
                    <c:v>1.4E-3</c:v>
                  </c:pt>
                  <c:pt idx="6">
                    <c:v>0.02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6936.5</c:v>
                </c:pt>
                <c:pt idx="2">
                  <c:v>6985.5</c:v>
                </c:pt>
                <c:pt idx="3">
                  <c:v>7980.5</c:v>
                </c:pt>
                <c:pt idx="4">
                  <c:v>7992.5</c:v>
                </c:pt>
                <c:pt idx="5">
                  <c:v>7992.5</c:v>
                </c:pt>
                <c:pt idx="6">
                  <c:v>9357.5</c:v>
                </c:pt>
                <c:pt idx="7">
                  <c:v>9360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6">
                  <c:v>0.16219999999884749</c:v>
                </c:pt>
                <c:pt idx="7">
                  <c:v>-0.29140000000188593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63-4784-B543-4037B5F8E3F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6936.5</c:v>
                </c:pt>
                <c:pt idx="2">
                  <c:v>6985.5</c:v>
                </c:pt>
                <c:pt idx="3">
                  <c:v>7980.5</c:v>
                </c:pt>
                <c:pt idx="4">
                  <c:v>7992.5</c:v>
                </c:pt>
                <c:pt idx="5">
                  <c:v>7992.5</c:v>
                </c:pt>
                <c:pt idx="6">
                  <c:v>9357.5</c:v>
                </c:pt>
                <c:pt idx="7">
                  <c:v>9360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63-4784-B543-4037B5F8E3F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6936.5</c:v>
                </c:pt>
                <c:pt idx="2">
                  <c:v>6985.5</c:v>
                </c:pt>
                <c:pt idx="3">
                  <c:v>7980.5</c:v>
                </c:pt>
                <c:pt idx="4">
                  <c:v>7992.5</c:v>
                </c:pt>
                <c:pt idx="5">
                  <c:v>7992.5</c:v>
                </c:pt>
                <c:pt idx="6">
                  <c:v>9357.5</c:v>
                </c:pt>
                <c:pt idx="7">
                  <c:v>9360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63-4784-B543-4037B5F8E3F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6936.5</c:v>
                </c:pt>
                <c:pt idx="2">
                  <c:v>6985.5</c:v>
                </c:pt>
                <c:pt idx="3">
                  <c:v>7980.5</c:v>
                </c:pt>
                <c:pt idx="4">
                  <c:v>7992.5</c:v>
                </c:pt>
                <c:pt idx="5">
                  <c:v>7992.5</c:v>
                </c:pt>
                <c:pt idx="6">
                  <c:v>9357.5</c:v>
                </c:pt>
                <c:pt idx="7">
                  <c:v>9360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63-4784-B543-4037B5F8E3F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6936.5</c:v>
                </c:pt>
                <c:pt idx="2">
                  <c:v>6985.5</c:v>
                </c:pt>
                <c:pt idx="3">
                  <c:v>7980.5</c:v>
                </c:pt>
                <c:pt idx="4">
                  <c:v>7992.5</c:v>
                </c:pt>
                <c:pt idx="5">
                  <c:v>7992.5</c:v>
                </c:pt>
                <c:pt idx="6">
                  <c:v>9357.5</c:v>
                </c:pt>
                <c:pt idx="7">
                  <c:v>9360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63-4784-B543-4037B5F8E3F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6936.5</c:v>
                </c:pt>
                <c:pt idx="2">
                  <c:v>6985.5</c:v>
                </c:pt>
                <c:pt idx="3">
                  <c:v>7980.5</c:v>
                </c:pt>
                <c:pt idx="4">
                  <c:v>7992.5</c:v>
                </c:pt>
                <c:pt idx="5">
                  <c:v>7992.5</c:v>
                </c:pt>
                <c:pt idx="6">
                  <c:v>9357.5</c:v>
                </c:pt>
                <c:pt idx="7">
                  <c:v>9360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-0.67173593346545868</c:v>
                </c:pt>
                <c:pt idx="1">
                  <c:v>-0.23801608685661962</c:v>
                </c:pt>
                <c:pt idx="2">
                  <c:v>-0.2349522545948402</c:v>
                </c:pt>
                <c:pt idx="3">
                  <c:v>-0.17273770152401274</c:v>
                </c:pt>
                <c:pt idx="4">
                  <c:v>-0.17198737525582186</c:v>
                </c:pt>
                <c:pt idx="5">
                  <c:v>-0.17198737525582186</c:v>
                </c:pt>
                <c:pt idx="6">
                  <c:v>-8.6637762249108796E-2</c:v>
                </c:pt>
                <c:pt idx="7">
                  <c:v>-8.6481444276569008E-2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63-4784-B543-4037B5F8E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61104"/>
        <c:axId val="1"/>
      </c:scatterChart>
      <c:valAx>
        <c:axId val="794361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61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86123584309634"/>
          <c:y val="0.91925596256989606"/>
          <c:w val="0.7092089094678997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Eri - O-C Diagr.</a:t>
            </a:r>
          </a:p>
        </c:rich>
      </c:tx>
      <c:layout>
        <c:manualLayout>
          <c:xMode val="edge"/>
          <c:yMode val="edge"/>
          <c:x val="0.3812604361449972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1421712046357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6654</c:v>
                </c:pt>
                <c:pt idx="2">
                  <c:v>6701</c:v>
                </c:pt>
                <c:pt idx="3">
                  <c:v>7655.5</c:v>
                </c:pt>
                <c:pt idx="4">
                  <c:v>7667</c:v>
                </c:pt>
                <c:pt idx="5">
                  <c:v>7667</c:v>
                </c:pt>
                <c:pt idx="6">
                  <c:v>8976.5</c:v>
                </c:pt>
                <c:pt idx="7">
                  <c:v>8978.5</c:v>
                </c:pt>
              </c:numCache>
            </c:numRef>
          </c:xVal>
          <c:yVal>
            <c:numRef>
              <c:f>'Active 3'!$H$21:$H$999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42-448B-825C-A3F153290FC2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3'!$D$22:$D$50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1.4E-3</c:v>
                  </c:pt>
                  <c:pt idx="5">
                    <c:v>0.02</c:v>
                  </c:pt>
                  <c:pt idx="6">
                    <c:v>8.0000000000000002E-3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6654</c:v>
                </c:pt>
                <c:pt idx="2">
                  <c:v>6701</c:v>
                </c:pt>
                <c:pt idx="3">
                  <c:v>7655.5</c:v>
                </c:pt>
                <c:pt idx="4">
                  <c:v>7667</c:v>
                </c:pt>
                <c:pt idx="5">
                  <c:v>7667</c:v>
                </c:pt>
                <c:pt idx="6">
                  <c:v>8976.5</c:v>
                </c:pt>
                <c:pt idx="7">
                  <c:v>8978.5</c:v>
                </c:pt>
              </c:numCache>
            </c:numRef>
          </c:xVal>
          <c:yVal>
            <c:numRef>
              <c:f>'Active 3'!$I$21:$I$999</c:f>
              <c:numCache>
                <c:formatCode>General</c:formatCode>
                <c:ptCount val="979"/>
                <c:pt idx="1">
                  <c:v>-0.10212800000590505</c:v>
                </c:pt>
                <c:pt idx="2">
                  <c:v>-8.9132000000972766E-2</c:v>
                </c:pt>
                <c:pt idx="3">
                  <c:v>-9.8876000003656372E-2</c:v>
                </c:pt>
                <c:pt idx="4">
                  <c:v>-0.11444399999891175</c:v>
                </c:pt>
                <c:pt idx="5">
                  <c:v>-7.6544000003195833E-2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42-448B-825C-A3F153290FC2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1.1000000000000001E-3</c:v>
                  </c:pt>
                  <c:pt idx="5">
                    <c:v>1.4E-3</c:v>
                  </c:pt>
                  <c:pt idx="6">
                    <c:v>0.02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'Active 3'!$D$21:$D$50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1.1000000000000001E-3</c:v>
                  </c:pt>
                  <c:pt idx="5">
                    <c:v>1.4E-3</c:v>
                  </c:pt>
                  <c:pt idx="6">
                    <c:v>0.02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6654</c:v>
                </c:pt>
                <c:pt idx="2">
                  <c:v>6701</c:v>
                </c:pt>
                <c:pt idx="3">
                  <c:v>7655.5</c:v>
                </c:pt>
                <c:pt idx="4">
                  <c:v>7667</c:v>
                </c:pt>
                <c:pt idx="5">
                  <c:v>7667</c:v>
                </c:pt>
                <c:pt idx="6">
                  <c:v>8976.5</c:v>
                </c:pt>
                <c:pt idx="7">
                  <c:v>8978.5</c:v>
                </c:pt>
              </c:numCache>
            </c:numRef>
          </c:xVal>
          <c:yVal>
            <c:numRef>
              <c:f>'Active 3'!$J$21:$J$999</c:f>
              <c:numCache>
                <c:formatCode>General</c:formatCode>
                <c:ptCount val="979"/>
                <c:pt idx="6">
                  <c:v>0.17125200000009499</c:v>
                </c:pt>
                <c:pt idx="7">
                  <c:v>0.26918800000566989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42-448B-825C-A3F153290FC2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6654</c:v>
                </c:pt>
                <c:pt idx="2">
                  <c:v>6701</c:v>
                </c:pt>
                <c:pt idx="3">
                  <c:v>7655.5</c:v>
                </c:pt>
                <c:pt idx="4">
                  <c:v>7667</c:v>
                </c:pt>
                <c:pt idx="5">
                  <c:v>7667</c:v>
                </c:pt>
                <c:pt idx="6">
                  <c:v>8976.5</c:v>
                </c:pt>
                <c:pt idx="7">
                  <c:v>8978.5</c:v>
                </c:pt>
              </c:numCache>
            </c:numRef>
          </c:xVal>
          <c:yVal>
            <c:numRef>
              <c:f>'Active 3'!$K$21:$K$999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42-448B-825C-A3F153290FC2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6654</c:v>
                </c:pt>
                <c:pt idx="2">
                  <c:v>6701</c:v>
                </c:pt>
                <c:pt idx="3">
                  <c:v>7655.5</c:v>
                </c:pt>
                <c:pt idx="4">
                  <c:v>7667</c:v>
                </c:pt>
                <c:pt idx="5">
                  <c:v>7667</c:v>
                </c:pt>
                <c:pt idx="6">
                  <c:v>8976.5</c:v>
                </c:pt>
                <c:pt idx="7">
                  <c:v>8978.5</c:v>
                </c:pt>
              </c:numCache>
            </c:numRef>
          </c:xVal>
          <c:yVal>
            <c:numRef>
              <c:f>'Active 3'!$L$21:$L$999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42-448B-825C-A3F153290FC2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6654</c:v>
                </c:pt>
                <c:pt idx="2">
                  <c:v>6701</c:v>
                </c:pt>
                <c:pt idx="3">
                  <c:v>7655.5</c:v>
                </c:pt>
                <c:pt idx="4">
                  <c:v>7667</c:v>
                </c:pt>
                <c:pt idx="5">
                  <c:v>7667</c:v>
                </c:pt>
                <c:pt idx="6">
                  <c:v>8976.5</c:v>
                </c:pt>
                <c:pt idx="7">
                  <c:v>8978.5</c:v>
                </c:pt>
              </c:numCache>
            </c:numRef>
          </c:xVal>
          <c:yVal>
            <c:numRef>
              <c:f>'Active 3'!$M$21:$M$999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42-448B-825C-A3F153290FC2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6654</c:v>
                </c:pt>
                <c:pt idx="2">
                  <c:v>6701</c:v>
                </c:pt>
                <c:pt idx="3">
                  <c:v>7655.5</c:v>
                </c:pt>
                <c:pt idx="4">
                  <c:v>7667</c:v>
                </c:pt>
                <c:pt idx="5">
                  <c:v>7667</c:v>
                </c:pt>
                <c:pt idx="6">
                  <c:v>8976.5</c:v>
                </c:pt>
                <c:pt idx="7">
                  <c:v>8978.5</c:v>
                </c:pt>
              </c:numCache>
            </c:numRef>
          </c:xVal>
          <c:yVal>
            <c:numRef>
              <c:f>'Active 3'!$N$21:$N$999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42-448B-825C-A3F153290FC2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6654</c:v>
                </c:pt>
                <c:pt idx="2">
                  <c:v>6701</c:v>
                </c:pt>
                <c:pt idx="3">
                  <c:v>7655.5</c:v>
                </c:pt>
                <c:pt idx="4">
                  <c:v>7667</c:v>
                </c:pt>
                <c:pt idx="5">
                  <c:v>7667</c:v>
                </c:pt>
                <c:pt idx="6">
                  <c:v>8976.5</c:v>
                </c:pt>
                <c:pt idx="7">
                  <c:v>8978.5</c:v>
                </c:pt>
              </c:numCache>
            </c:numRef>
          </c:xVal>
          <c:yVal>
            <c:numRef>
              <c:f>'Active 3'!$O$21:$O$999</c:f>
              <c:numCache>
                <c:formatCode>General</c:formatCode>
                <c:ptCount val="979"/>
                <c:pt idx="0">
                  <c:v>-1.1272698143535798</c:v>
                </c:pt>
                <c:pt idx="1">
                  <c:v>-0.16528559577117519</c:v>
                </c:pt>
                <c:pt idx="2">
                  <c:v>-0.1584906967219758</c:v>
                </c:pt>
                <c:pt idx="3">
                  <c:v>-2.0496417095149155E-2</c:v>
                </c:pt>
                <c:pt idx="4">
                  <c:v>-1.883383541289807E-2</c:v>
                </c:pt>
                <c:pt idx="5">
                  <c:v>-1.883383541289807E-2</c:v>
                </c:pt>
                <c:pt idx="6">
                  <c:v>0.17048361788341371</c:v>
                </c:pt>
                <c:pt idx="7">
                  <c:v>0.17077276252380513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42-448B-825C-A3F153290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76584"/>
        <c:axId val="1"/>
      </c:scatterChart>
      <c:valAx>
        <c:axId val="794376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76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86123584309634"/>
          <c:y val="0.91925596256989606"/>
          <c:w val="0.7092089094678997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Eri - O-C Diagr.</a:t>
            </a:r>
          </a:p>
        </c:rich>
      </c:tx>
      <c:layout>
        <c:manualLayout>
          <c:xMode val="edge"/>
          <c:yMode val="edge"/>
          <c:x val="0.3812604361449972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906854902912253"/>
          <c:w val="0.8206791611021755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4'!$F$21:$F$999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6368</c:v>
                </c:pt>
                <c:pt idx="2">
                  <c:v>6413</c:v>
                </c:pt>
                <c:pt idx="3">
                  <c:v>7326.5</c:v>
                </c:pt>
                <c:pt idx="4">
                  <c:v>7337.5</c:v>
                </c:pt>
                <c:pt idx="5">
                  <c:v>7337.5</c:v>
                </c:pt>
                <c:pt idx="6">
                  <c:v>8591</c:v>
                </c:pt>
                <c:pt idx="7">
                  <c:v>8593</c:v>
                </c:pt>
              </c:numCache>
            </c:numRef>
          </c:xVal>
          <c:yVal>
            <c:numRef>
              <c:f>'Active 4'!$H$21:$H$999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60-48DD-8D84-8B86C9FA6A10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4'!$D$22:$D$50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1.4E-3</c:v>
                  </c:pt>
                  <c:pt idx="5">
                    <c:v>0.02</c:v>
                  </c:pt>
                  <c:pt idx="6">
                    <c:v>8.0000000000000002E-3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6368</c:v>
                </c:pt>
                <c:pt idx="2">
                  <c:v>6413</c:v>
                </c:pt>
                <c:pt idx="3">
                  <c:v>7326.5</c:v>
                </c:pt>
                <c:pt idx="4">
                  <c:v>7337.5</c:v>
                </c:pt>
                <c:pt idx="5">
                  <c:v>7337.5</c:v>
                </c:pt>
                <c:pt idx="6">
                  <c:v>8591</c:v>
                </c:pt>
                <c:pt idx="7">
                  <c:v>8593</c:v>
                </c:pt>
              </c:numCache>
            </c:numRef>
          </c:xVal>
          <c:yVal>
            <c:numRef>
              <c:f>'Active 4'!$I$21:$I$999</c:f>
              <c:numCache>
                <c:formatCode>General</c:formatCode>
                <c:ptCount val="979"/>
                <c:pt idx="1">
                  <c:v>0.22035199999663746</c:v>
                </c:pt>
                <c:pt idx="2">
                  <c:v>0.20648200000141514</c:v>
                </c:pt>
                <c:pt idx="3">
                  <c:v>0.20537099999637576</c:v>
                </c:pt>
                <c:pt idx="4">
                  <c:v>0.19862499999726424</c:v>
                </c:pt>
                <c:pt idx="5">
                  <c:v>0.23652499999298016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60-48DD-8D84-8B86C9FA6A10}"/>
            </c:ext>
          </c:extLst>
        </c:ser>
        <c:ser>
          <c:idx val="3"/>
          <c:order val="2"/>
          <c:tx>
            <c:strRef>
              <c:f>'Active 4'!$J$20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1.1000000000000001E-3</c:v>
                  </c:pt>
                  <c:pt idx="5">
                    <c:v>1.4E-3</c:v>
                  </c:pt>
                  <c:pt idx="6">
                    <c:v>0.02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'Active 4'!$D$21:$D$50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1.1000000000000001E-3</c:v>
                  </c:pt>
                  <c:pt idx="5">
                    <c:v>1.4E-3</c:v>
                  </c:pt>
                  <c:pt idx="6">
                    <c:v>0.02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6368</c:v>
                </c:pt>
                <c:pt idx="2">
                  <c:v>6413</c:v>
                </c:pt>
                <c:pt idx="3">
                  <c:v>7326.5</c:v>
                </c:pt>
                <c:pt idx="4">
                  <c:v>7337.5</c:v>
                </c:pt>
                <c:pt idx="5">
                  <c:v>7337.5</c:v>
                </c:pt>
                <c:pt idx="6">
                  <c:v>8591</c:v>
                </c:pt>
                <c:pt idx="7">
                  <c:v>8593</c:v>
                </c:pt>
              </c:numCache>
            </c:numRef>
          </c:xVal>
          <c:yVal>
            <c:numRef>
              <c:f>'Active 4'!$J$21:$J$999</c:f>
              <c:numCache>
                <c:formatCode>General</c:formatCode>
                <c:ptCount val="979"/>
                <c:pt idx="6">
                  <c:v>0.13607400000182679</c:v>
                </c:pt>
                <c:pt idx="7">
                  <c:v>0.10970200000156183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60-48DD-8D84-8B86C9FA6A10}"/>
            </c:ext>
          </c:extLst>
        </c:ser>
        <c:ser>
          <c:idx val="4"/>
          <c:order val="3"/>
          <c:tx>
            <c:strRef>
              <c:f>'Active 4'!$K$20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4'!$F$21:$F$999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6368</c:v>
                </c:pt>
                <c:pt idx="2">
                  <c:v>6413</c:v>
                </c:pt>
                <c:pt idx="3">
                  <c:v>7326.5</c:v>
                </c:pt>
                <c:pt idx="4">
                  <c:v>7337.5</c:v>
                </c:pt>
                <c:pt idx="5">
                  <c:v>7337.5</c:v>
                </c:pt>
                <c:pt idx="6">
                  <c:v>8591</c:v>
                </c:pt>
                <c:pt idx="7">
                  <c:v>8593</c:v>
                </c:pt>
              </c:numCache>
            </c:numRef>
          </c:xVal>
          <c:yVal>
            <c:numRef>
              <c:f>'Active 4'!$K$21:$K$999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60-48DD-8D84-8B86C9FA6A10}"/>
            </c:ext>
          </c:extLst>
        </c:ser>
        <c:ser>
          <c:idx val="2"/>
          <c:order val="4"/>
          <c:tx>
            <c:strRef>
              <c:f>'Active 4'!$L$20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4'!$F$21:$F$999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6368</c:v>
                </c:pt>
                <c:pt idx="2">
                  <c:v>6413</c:v>
                </c:pt>
                <c:pt idx="3">
                  <c:v>7326.5</c:v>
                </c:pt>
                <c:pt idx="4">
                  <c:v>7337.5</c:v>
                </c:pt>
                <c:pt idx="5">
                  <c:v>7337.5</c:v>
                </c:pt>
                <c:pt idx="6">
                  <c:v>8591</c:v>
                </c:pt>
                <c:pt idx="7">
                  <c:v>8593</c:v>
                </c:pt>
              </c:numCache>
            </c:numRef>
          </c:xVal>
          <c:yVal>
            <c:numRef>
              <c:f>'Active 4'!$L$21:$L$999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60-48DD-8D84-8B86C9FA6A10}"/>
            </c:ext>
          </c:extLst>
        </c:ser>
        <c:ser>
          <c:idx val="5"/>
          <c:order val="5"/>
          <c:tx>
            <c:strRef>
              <c:f>'Active 4'!$M$20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4'!$F$21:$F$999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6368</c:v>
                </c:pt>
                <c:pt idx="2">
                  <c:v>6413</c:v>
                </c:pt>
                <c:pt idx="3">
                  <c:v>7326.5</c:v>
                </c:pt>
                <c:pt idx="4">
                  <c:v>7337.5</c:v>
                </c:pt>
                <c:pt idx="5">
                  <c:v>7337.5</c:v>
                </c:pt>
                <c:pt idx="6">
                  <c:v>8591</c:v>
                </c:pt>
                <c:pt idx="7">
                  <c:v>8593</c:v>
                </c:pt>
              </c:numCache>
            </c:numRef>
          </c:xVal>
          <c:yVal>
            <c:numRef>
              <c:f>'Active 4'!$M$21:$M$999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60-48DD-8D84-8B86C9FA6A10}"/>
            </c:ext>
          </c:extLst>
        </c:ser>
        <c:ser>
          <c:idx val="6"/>
          <c:order val="6"/>
          <c:tx>
            <c:strRef>
              <c:f>'Active 4'!$N$20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4'!$F$21:$F$999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6368</c:v>
                </c:pt>
                <c:pt idx="2">
                  <c:v>6413</c:v>
                </c:pt>
                <c:pt idx="3">
                  <c:v>7326.5</c:v>
                </c:pt>
                <c:pt idx="4">
                  <c:v>7337.5</c:v>
                </c:pt>
                <c:pt idx="5">
                  <c:v>7337.5</c:v>
                </c:pt>
                <c:pt idx="6">
                  <c:v>8591</c:v>
                </c:pt>
                <c:pt idx="7">
                  <c:v>8593</c:v>
                </c:pt>
              </c:numCache>
            </c:numRef>
          </c:xVal>
          <c:yVal>
            <c:numRef>
              <c:f>'Active 4'!$N$21:$N$999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60-48DD-8D84-8B86C9FA6A10}"/>
            </c:ext>
          </c:extLst>
        </c:ser>
        <c:ser>
          <c:idx val="7"/>
          <c:order val="7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6368</c:v>
                </c:pt>
                <c:pt idx="2">
                  <c:v>6413</c:v>
                </c:pt>
                <c:pt idx="3">
                  <c:v>7326.5</c:v>
                </c:pt>
                <c:pt idx="4">
                  <c:v>7337.5</c:v>
                </c:pt>
                <c:pt idx="5">
                  <c:v>7337.5</c:v>
                </c:pt>
                <c:pt idx="6">
                  <c:v>8591</c:v>
                </c:pt>
                <c:pt idx="7">
                  <c:v>8593</c:v>
                </c:pt>
              </c:numCache>
            </c:numRef>
          </c:xVal>
          <c:yVal>
            <c:numRef>
              <c:f>'Active 4'!$O$21:$O$999</c:f>
              <c:numCache>
                <c:formatCode>General</c:formatCode>
                <c:ptCount val="979"/>
                <c:pt idx="0">
                  <c:v>0.50910549084776702</c:v>
                </c:pt>
                <c:pt idx="1">
                  <c:v>0.2333149690287859</c:v>
                </c:pt>
                <c:pt idx="2">
                  <c:v>0.23136607243929874</c:v>
                </c:pt>
                <c:pt idx="3">
                  <c:v>0.19180347167270967</c:v>
                </c:pt>
                <c:pt idx="4">
                  <c:v>0.19132707472861277</c:v>
                </c:pt>
                <c:pt idx="5">
                  <c:v>0.19132707472861277</c:v>
                </c:pt>
                <c:pt idx="6">
                  <c:v>0.13703947750812084</c:v>
                </c:pt>
                <c:pt idx="7">
                  <c:v>0.13695285988192141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60-48DD-8D84-8B86C9FA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90264"/>
        <c:axId val="1"/>
      </c:scatterChart>
      <c:valAx>
        <c:axId val="794390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90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01470918719973"/>
          <c:y val="0.91925596256989606"/>
          <c:w val="0.7092089094678997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28574</xdr:rowOff>
    </xdr:from>
    <xdr:to>
      <xdr:col>18</xdr:col>
      <xdr:colOff>38100</xdr:colOff>
      <xdr:row>18</xdr:row>
      <xdr:rowOff>76199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8BB2B0-D76C-BF5F-1096-A0319AE6E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371475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2FCCF763-F5AD-93F6-2601-4FF259812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28575</xdr:rowOff>
    </xdr:from>
    <xdr:to>
      <xdr:col>16</xdr:col>
      <xdr:colOff>495300</xdr:colOff>
      <xdr:row>18</xdr:row>
      <xdr:rowOff>66675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47CA370A-9086-65A3-89C0-24387234C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47625</xdr:rowOff>
    </xdr:from>
    <xdr:to>
      <xdr:col>16</xdr:col>
      <xdr:colOff>409575</xdr:colOff>
      <xdr:row>18</xdr:row>
      <xdr:rowOff>85725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ED0C023B-12A7-E35B-F52B-C9AD51678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9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x14ac:dyDescent="0.2">
      <c r="A2" t="s">
        <v>25</v>
      </c>
      <c r="B2" s="9" t="s">
        <v>31</v>
      </c>
      <c r="E2" s="37" t="s">
        <v>45</v>
      </c>
    </row>
    <row r="4" spans="1:7" x14ac:dyDescent="0.2">
      <c r="A4" s="6" t="s">
        <v>0</v>
      </c>
      <c r="C4" s="3">
        <v>43448.684000000001</v>
      </c>
      <c r="D4" s="4">
        <v>0.63847730000000003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43448.684000000001</v>
      </c>
      <c r="D7" s="38" t="s">
        <v>49</v>
      </c>
    </row>
    <row r="8" spans="1:7" x14ac:dyDescent="0.2">
      <c r="A8" t="s">
        <v>3</v>
      </c>
      <c r="C8">
        <f>+D4</f>
        <v>0.63847730000000003</v>
      </c>
      <c r="D8" s="38" t="s">
        <v>49</v>
      </c>
    </row>
    <row r="9" spans="1:7" x14ac:dyDescent="0.2">
      <c r="A9" s="11" t="s">
        <v>34</v>
      </c>
      <c r="B9" s="12"/>
      <c r="C9" s="13">
        <v>-9.5</v>
      </c>
      <c r="D9" s="12" t="s">
        <v>35</v>
      </c>
      <c r="E9" s="12"/>
    </row>
    <row r="10" spans="1:7" ht="13.5" thickBot="1" x14ac:dyDescent="0.25">
      <c r="A10" s="12"/>
      <c r="B10" s="12"/>
      <c r="C10" s="5" t="s">
        <v>21</v>
      </c>
      <c r="D10" s="5" t="s">
        <v>22</v>
      </c>
      <c r="E10" s="12"/>
    </row>
    <row r="11" spans="1:7" x14ac:dyDescent="0.2">
      <c r="A11" s="12" t="s">
        <v>16</v>
      </c>
      <c r="B11" s="12"/>
      <c r="C11" s="14">
        <f ca="1">INTERCEPT(INDIRECT($G$11):G992,INDIRECT($F$11):F992)</f>
        <v>0.48517121106401018</v>
      </c>
      <c r="D11" s="15"/>
      <c r="E11" s="12"/>
      <c r="F11" s="16" t="str">
        <f>"F"&amp;E19</f>
        <v>F22</v>
      </c>
      <c r="G11" s="17" t="str">
        <f>"G"&amp;E19</f>
        <v>G22</v>
      </c>
    </row>
    <row r="12" spans="1:7" x14ac:dyDescent="0.2">
      <c r="A12" s="12" t="s">
        <v>17</v>
      </c>
      <c r="B12" s="12"/>
      <c r="C12" s="14">
        <f ca="1">SLOPE(INDIRECT($G$11):G992,INDIRECT($F$11):F992)</f>
        <v>-2.3887755932757922E-5</v>
      </c>
      <c r="D12" s="15"/>
      <c r="E12" s="40" t="s">
        <v>51</v>
      </c>
      <c r="F12" s="41" t="s">
        <v>50</v>
      </c>
    </row>
    <row r="13" spans="1:7" x14ac:dyDescent="0.2">
      <c r="A13" s="12" t="s">
        <v>20</v>
      </c>
      <c r="B13" s="12"/>
      <c r="C13" s="15" t="s">
        <v>14</v>
      </c>
      <c r="D13" s="20"/>
      <c r="E13" s="42" t="s">
        <v>42</v>
      </c>
      <c r="F13" s="43">
        <v>1</v>
      </c>
    </row>
    <row r="14" spans="1:7" x14ac:dyDescent="0.2">
      <c r="A14" s="12"/>
      <c r="B14" s="12"/>
      <c r="C14" s="12"/>
      <c r="D14" s="20"/>
      <c r="E14" s="42" t="s">
        <v>36</v>
      </c>
      <c r="F14" s="44">
        <f ca="1">NOW()+15018.5+$C$9/24</f>
        <v>60520.856765277778</v>
      </c>
    </row>
    <row r="15" spans="1:7" x14ac:dyDescent="0.2">
      <c r="A15" s="18" t="s">
        <v>18</v>
      </c>
      <c r="B15" s="12"/>
      <c r="C15" s="19">
        <f ca="1">(C7+C11)+(C8+C12)*INT(MAX(F21:F3533))</f>
        <v>55884.326281488757</v>
      </c>
      <c r="D15" s="20"/>
      <c r="E15" s="42" t="s">
        <v>43</v>
      </c>
      <c r="F15" s="44">
        <f ca="1">ROUND(2*($F$14-$C$7)/$C$8,0)/2+$F$13</f>
        <v>26740</v>
      </c>
    </row>
    <row r="16" spans="1:7" x14ac:dyDescent="0.2">
      <c r="A16" s="21" t="s">
        <v>4</v>
      </c>
      <c r="B16" s="12"/>
      <c r="C16" s="22">
        <f ca="1">+C8+C12</f>
        <v>0.63845341224406726</v>
      </c>
      <c r="D16" s="20"/>
      <c r="E16" s="42" t="s">
        <v>37</v>
      </c>
      <c r="F16" s="44">
        <f ca="1">ROUND(2*($F$14-$C$15)/$C$16,0)/2+$F$13</f>
        <v>7263</v>
      </c>
    </row>
    <row r="17" spans="1:18" ht="13.5" thickBot="1" x14ac:dyDescent="0.25">
      <c r="A17" s="20" t="s">
        <v>32</v>
      </c>
      <c r="B17" s="12"/>
      <c r="C17" s="12">
        <f>COUNT(C21:C2191)</f>
        <v>8</v>
      </c>
      <c r="D17" s="20"/>
      <c r="E17" s="45" t="s">
        <v>47</v>
      </c>
      <c r="F17" s="46">
        <f ca="1">+$C$15+$C$16*$F$16-15018.5-$C$9/24</f>
        <v>45503.309247950754</v>
      </c>
    </row>
    <row r="18" spans="1:18" x14ac:dyDescent="0.2">
      <c r="A18" s="21" t="s">
        <v>5</v>
      </c>
      <c r="B18" s="12"/>
      <c r="C18" s="23">
        <f ca="1">+C15</f>
        <v>55884.326281488757</v>
      </c>
      <c r="D18" s="24">
        <f ca="1">+C16</f>
        <v>0.63845341224406726</v>
      </c>
      <c r="E18" s="48" t="s">
        <v>48</v>
      </c>
      <c r="F18" s="47">
        <f ca="1">+($C$15+$C$16*$F$16)-($C$16/2)-15018.5-$C$9/24</f>
        <v>45502.99002124463</v>
      </c>
      <c r="R18">
        <f ca="1">SQRT(SUM(R22:R26)/4)</f>
        <v>3.8481753785818806E-2</v>
      </c>
    </row>
    <row r="19" spans="1:18" ht="13.5" thickTop="1" x14ac:dyDescent="0.2">
      <c r="A19" s="25" t="s">
        <v>38</v>
      </c>
      <c r="E19" s="26">
        <v>22</v>
      </c>
    </row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30</v>
      </c>
      <c r="J20" s="8" t="s">
        <v>52</v>
      </c>
      <c r="K20" s="8" t="s">
        <v>19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15</v>
      </c>
    </row>
    <row r="21" spans="1:18" x14ac:dyDescent="0.2">
      <c r="A21" t="s">
        <v>12</v>
      </c>
      <c r="C21" s="10">
        <v>43448.684000000001</v>
      </c>
      <c r="D21" s="10" t="s">
        <v>14</v>
      </c>
      <c r="E21">
        <f t="shared" ref="E21:E26" si="0">+(C21-C$7)/C$8</f>
        <v>0</v>
      </c>
      <c r="F21">
        <f t="shared" ref="F21:F28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+C$11+C$12*F21</f>
        <v>0.48517121106401018</v>
      </c>
      <c r="Q21" s="2">
        <f t="shared" ref="Q21:Q26" si="4">+C21-15018.5</f>
        <v>28430.184000000001</v>
      </c>
    </row>
    <row r="22" spans="1:18" x14ac:dyDescent="0.2">
      <c r="A22" s="30" t="s">
        <v>29</v>
      </c>
      <c r="B22" s="31" t="s">
        <v>40</v>
      </c>
      <c r="C22" s="32">
        <v>52664.584799999997</v>
      </c>
      <c r="D22" s="30">
        <v>4.0000000000000002E-4</v>
      </c>
      <c r="E22">
        <f t="shared" si="0"/>
        <v>14434.187088562108</v>
      </c>
      <c r="F22">
        <f t="shared" si="1"/>
        <v>14434</v>
      </c>
      <c r="G22">
        <f t="shared" si="2"/>
        <v>0.11945179999747779</v>
      </c>
      <c r="I22">
        <f>+G22</f>
        <v>0.11945179999747779</v>
      </c>
      <c r="O22">
        <f t="shared" ca="1" si="3"/>
        <v>0.14037534193058232</v>
      </c>
      <c r="Q22" s="2">
        <f t="shared" si="4"/>
        <v>37646.084799999997</v>
      </c>
      <c r="R22">
        <f t="shared" ref="R22:R28" ca="1" si="5">(O22-G22)^2</f>
        <v>4.3779460702638356E-4</v>
      </c>
    </row>
    <row r="23" spans="1:18" x14ac:dyDescent="0.2">
      <c r="A23" t="s">
        <v>29</v>
      </c>
      <c r="C23" s="10">
        <v>52729.694300000003</v>
      </c>
      <c r="D23" s="10">
        <v>2.0000000000000001E-4</v>
      </c>
      <c r="E23">
        <f t="shared" si="0"/>
        <v>14536.163306040797</v>
      </c>
      <c r="F23">
        <f t="shared" si="1"/>
        <v>14536</v>
      </c>
      <c r="G23">
        <f t="shared" si="2"/>
        <v>0.10426720000396017</v>
      </c>
      <c r="I23">
        <f>+G23</f>
        <v>0.10426720000396017</v>
      </c>
      <c r="O23">
        <f t="shared" ca="1" si="3"/>
        <v>0.13793879082544103</v>
      </c>
      <c r="Q23" s="2">
        <f t="shared" si="4"/>
        <v>37711.194300000003</v>
      </c>
      <c r="R23">
        <f t="shared" ca="1" si="5"/>
        <v>1.1337760284492338E-3</v>
      </c>
    </row>
    <row r="24" spans="1:18" x14ac:dyDescent="0.2">
      <c r="A24" s="33" t="s">
        <v>39</v>
      </c>
      <c r="B24" s="34" t="s">
        <v>41</v>
      </c>
      <c r="C24" s="30">
        <v>54051.6976</v>
      </c>
      <c r="D24" s="30">
        <v>1E-3</v>
      </c>
      <c r="E24">
        <f t="shared" si="0"/>
        <v>16606.719769050516</v>
      </c>
      <c r="F24">
        <f t="shared" si="1"/>
        <v>16606.5</v>
      </c>
      <c r="G24">
        <f t="shared" si="2"/>
        <v>0.14031755000178237</v>
      </c>
      <c r="I24">
        <f>+G24</f>
        <v>0.14031755000178237</v>
      </c>
      <c r="O24">
        <f t="shared" ca="1" si="3"/>
        <v>8.8479192166665777E-2</v>
      </c>
      <c r="Q24" s="2">
        <f t="shared" si="4"/>
        <v>39033.1976</v>
      </c>
      <c r="R24">
        <f t="shared" ca="1" si="5"/>
        <v>2.6872153430415936E-3</v>
      </c>
    </row>
    <row r="25" spans="1:18" x14ac:dyDescent="0.2">
      <c r="A25" s="27" t="s">
        <v>39</v>
      </c>
      <c r="B25" s="28" t="s">
        <v>40</v>
      </c>
      <c r="C25" s="29">
        <v>54067.609900000003</v>
      </c>
      <c r="D25" s="29">
        <v>1.1000000000000001E-3</v>
      </c>
      <c r="E25">
        <f t="shared" si="0"/>
        <v>16631.642033318964</v>
      </c>
      <c r="F25">
        <f t="shared" si="1"/>
        <v>16631.5</v>
      </c>
      <c r="G25">
        <f t="shared" si="2"/>
        <v>9.0685050003230572E-2</v>
      </c>
      <c r="I25">
        <f>+G25</f>
        <v>9.0685050003230572E-2</v>
      </c>
      <c r="O25">
        <f t="shared" ca="1" si="3"/>
        <v>8.7881998268346806E-2</v>
      </c>
      <c r="Q25" s="2">
        <f t="shared" si="4"/>
        <v>39049.109900000003</v>
      </c>
      <c r="R25">
        <f t="shared" ca="1" si="5"/>
        <v>7.8570990284348896E-6</v>
      </c>
    </row>
    <row r="26" spans="1:18" x14ac:dyDescent="0.2">
      <c r="A26" s="33" t="s">
        <v>39</v>
      </c>
      <c r="B26" s="34" t="s">
        <v>41</v>
      </c>
      <c r="C26" s="30">
        <v>54067.647799999999</v>
      </c>
      <c r="D26" s="30">
        <v>1.4E-3</v>
      </c>
      <c r="E26">
        <f t="shared" si="0"/>
        <v>16631.701393299336</v>
      </c>
      <c r="F26">
        <f t="shared" si="1"/>
        <v>16631.5</v>
      </c>
      <c r="G26">
        <f t="shared" si="2"/>
        <v>0.12858504999894649</v>
      </c>
      <c r="I26">
        <f>+G26</f>
        <v>0.12858504999894649</v>
      </c>
      <c r="O26">
        <f t="shared" ca="1" si="3"/>
        <v>8.7881998268346806E-2</v>
      </c>
      <c r="Q26" s="2">
        <f t="shared" si="4"/>
        <v>39049.147799999999</v>
      </c>
      <c r="R26">
        <f t="shared" ca="1" si="5"/>
        <v>1.6567384201838739E-3</v>
      </c>
    </row>
    <row r="27" spans="1:18" x14ac:dyDescent="0.2">
      <c r="A27" s="35" t="s">
        <v>44</v>
      </c>
      <c r="B27" s="36" t="s">
        <v>41</v>
      </c>
      <c r="C27" s="35">
        <v>55881.595000000001</v>
      </c>
      <c r="D27" s="35">
        <v>0.02</v>
      </c>
      <c r="E27">
        <f>+(C27-C$7)/C$8</f>
        <v>19472.753377449753</v>
      </c>
      <c r="F27">
        <f t="shared" si="1"/>
        <v>19473</v>
      </c>
      <c r="G27">
        <f>+C27-(C$7+F27*C$8)</f>
        <v>-0.1574629000024288</v>
      </c>
      <c r="J27">
        <f>+G27</f>
        <v>-0.1574629000024288</v>
      </c>
      <c r="O27">
        <f ca="1">+C$11+C$12*F27</f>
        <v>2.0004939785415177E-2</v>
      </c>
      <c r="Q27" s="2">
        <f>+C27-15018.5</f>
        <v>40863.095000000001</v>
      </c>
      <c r="R27">
        <f t="shared" ca="1" si="5"/>
        <v>3.1494834158963855E-2</v>
      </c>
    </row>
    <row r="28" spans="1:18" x14ac:dyDescent="0.2">
      <c r="A28" s="35" t="s">
        <v>44</v>
      </c>
      <c r="B28" s="36" t="s">
        <v>40</v>
      </c>
      <c r="C28" s="35">
        <v>55884.463000000003</v>
      </c>
      <c r="D28" s="35">
        <v>8.0000000000000002E-3</v>
      </c>
      <c r="E28">
        <f>+(C28-C$7)/C$8</f>
        <v>19477.24531475121</v>
      </c>
      <c r="F28">
        <f t="shared" si="1"/>
        <v>19477</v>
      </c>
      <c r="G28">
        <f>+C28-(C$7+F28*C$8)</f>
        <v>0.15662790000351379</v>
      </c>
      <c r="J28">
        <f>+G28</f>
        <v>0.15662790000351379</v>
      </c>
      <c r="O28">
        <f ca="1">+C$11+C$12*F28</f>
        <v>1.9909388761684133E-2</v>
      </c>
      <c r="Q28" s="2">
        <f>+C28-15018.5</f>
        <v>40865.963000000003</v>
      </c>
      <c r="R28">
        <f t="shared" ca="1" si="5"/>
        <v>1.8691951316182301E-2</v>
      </c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</sheetData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94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18" sqref="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x14ac:dyDescent="0.2">
      <c r="A2" t="s">
        <v>25</v>
      </c>
      <c r="B2" s="9" t="s">
        <v>31</v>
      </c>
    </row>
    <row r="4" spans="1:7" x14ac:dyDescent="0.2">
      <c r="A4" s="6" t="s">
        <v>0</v>
      </c>
      <c r="C4" s="3">
        <v>43448.684000000001</v>
      </c>
      <c r="D4" s="4">
        <v>0.63847730000000003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43448.684000000001</v>
      </c>
    </row>
    <row r="8" spans="1:7" x14ac:dyDescent="0.2">
      <c r="A8" t="s">
        <v>3</v>
      </c>
      <c r="C8">
        <v>1.32864</v>
      </c>
    </row>
    <row r="9" spans="1:7" x14ac:dyDescent="0.2">
      <c r="A9" s="11" t="s">
        <v>34</v>
      </c>
      <c r="B9" s="12"/>
      <c r="C9" s="13">
        <v>-9.5</v>
      </c>
      <c r="D9" s="12" t="s">
        <v>35</v>
      </c>
      <c r="E9" s="12"/>
    </row>
    <row r="10" spans="1:7" ht="13.5" thickBot="1" x14ac:dyDescent="0.25">
      <c r="A10" s="12"/>
      <c r="B10" s="12"/>
      <c r="C10" s="5" t="s">
        <v>21</v>
      </c>
      <c r="D10" s="5" t="s">
        <v>22</v>
      </c>
      <c r="E10" s="12"/>
    </row>
    <row r="11" spans="1:7" x14ac:dyDescent="0.2">
      <c r="A11" s="12" t="s">
        <v>16</v>
      </c>
      <c r="B11" s="12"/>
      <c r="C11" s="14">
        <f ca="1">INTERCEPT(INDIRECT($G$11):G992,INDIRECT($F$11):F992)</f>
        <v>-0.67173593346545868</v>
      </c>
      <c r="D11" s="15"/>
      <c r="E11" s="12"/>
      <c r="F11" s="16" t="str">
        <f>"F"&amp;E19</f>
        <v>F22</v>
      </c>
      <c r="G11" s="17" t="str">
        <f>"G"&amp;E19</f>
        <v>G22</v>
      </c>
    </row>
    <row r="12" spans="1:7" x14ac:dyDescent="0.2">
      <c r="A12" s="12" t="s">
        <v>17</v>
      </c>
      <c r="B12" s="12"/>
      <c r="C12" s="14">
        <f ca="1">SLOPE(INDIRECT($G$11):G992,INDIRECT($F$11):F992)</f>
        <v>6.2527189015907018E-5</v>
      </c>
      <c r="D12" s="15"/>
      <c r="E12" s="49" t="s">
        <v>51</v>
      </c>
      <c r="F12" s="50" t="s">
        <v>50</v>
      </c>
    </row>
    <row r="13" spans="1:7" x14ac:dyDescent="0.2">
      <c r="A13" s="12" t="s">
        <v>20</v>
      </c>
      <c r="B13" s="12"/>
      <c r="C13" s="15" t="s">
        <v>14</v>
      </c>
      <c r="D13" s="15"/>
      <c r="E13" s="42" t="s">
        <v>42</v>
      </c>
      <c r="F13" s="43">
        <v>1</v>
      </c>
    </row>
    <row r="14" spans="1:7" x14ac:dyDescent="0.2">
      <c r="A14" s="12"/>
      <c r="B14" s="12"/>
      <c r="C14" s="12"/>
      <c r="D14" s="12"/>
      <c r="E14" s="42" t="s">
        <v>36</v>
      </c>
      <c r="F14" s="44">
        <f ca="1">NOW()+15018.5+$C$9/24</f>
        <v>60520.856765277778</v>
      </c>
    </row>
    <row r="15" spans="1:7" x14ac:dyDescent="0.2">
      <c r="A15" s="18" t="s">
        <v>18</v>
      </c>
      <c r="B15" s="12"/>
      <c r="C15" s="19">
        <f ca="1">(C7+C11)+(C8+C12)*INT(MAX(F21:F3533))</f>
        <v>55884.66791855573</v>
      </c>
      <c r="D15" s="20"/>
      <c r="E15" s="42" t="s">
        <v>43</v>
      </c>
      <c r="F15" s="44">
        <f ca="1">ROUND(2*($F$14-$C$7)/$C$8,0)/2+$F$13</f>
        <v>12850.5</v>
      </c>
    </row>
    <row r="16" spans="1:7" x14ac:dyDescent="0.2">
      <c r="A16" s="21" t="s">
        <v>4</v>
      </c>
      <c r="B16" s="12"/>
      <c r="C16" s="22">
        <f ca="1">+C8+C12</f>
        <v>1.328702527189016</v>
      </c>
      <c r="D16" s="20"/>
      <c r="E16" s="42" t="s">
        <v>37</v>
      </c>
      <c r="F16" s="44">
        <f ca="1">ROUND(2*($F$14-$C$15)/$C$16,0)/2+$F$13</f>
        <v>3490.5</v>
      </c>
    </row>
    <row r="17" spans="1:18" ht="13.5" thickBot="1" x14ac:dyDescent="0.25">
      <c r="A17" s="20" t="s">
        <v>32</v>
      </c>
      <c r="B17" s="12"/>
      <c r="C17" s="12">
        <f>COUNT(C21:C2191)</f>
        <v>8</v>
      </c>
      <c r="D17" s="20"/>
      <c r="E17" s="45" t="s">
        <v>47</v>
      </c>
      <c r="F17" s="46">
        <f ca="1">+$C$15+$C$16*$F$16-15018.5-$C$9/24</f>
        <v>45504.399923042329</v>
      </c>
    </row>
    <row r="18" spans="1:18" x14ac:dyDescent="0.2">
      <c r="A18" s="21" t="s">
        <v>5</v>
      </c>
      <c r="B18" s="12"/>
      <c r="C18" s="23">
        <f ca="1">+C15</f>
        <v>55884.66791855573</v>
      </c>
      <c r="D18" s="24">
        <f ca="1">+C16</f>
        <v>1.328702527189016</v>
      </c>
      <c r="E18" s="48" t="s">
        <v>48</v>
      </c>
      <c r="F18" s="47">
        <f ca="1">+($C$15+$C$16*$F$16)-($C$16/2)-15018.5-$C$9/24</f>
        <v>45503.735571778736</v>
      </c>
      <c r="R18">
        <f ca="1">SQRT(SUM(R22:R26)/4)</f>
        <v>3.8671017530774357E-2</v>
      </c>
    </row>
    <row r="19" spans="1:18" ht="13.5" thickTop="1" x14ac:dyDescent="0.2">
      <c r="A19" s="25" t="s">
        <v>38</v>
      </c>
      <c r="E19" s="26">
        <v>22</v>
      </c>
    </row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30</v>
      </c>
      <c r="J20" s="8" t="s">
        <v>46</v>
      </c>
      <c r="K20" s="8" t="s">
        <v>19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15</v>
      </c>
    </row>
    <row r="21" spans="1:18" x14ac:dyDescent="0.2">
      <c r="A21" t="s">
        <v>12</v>
      </c>
      <c r="C21" s="10">
        <v>43448.684000000001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+C$11+C$12*F21</f>
        <v>-0.67173593346545868</v>
      </c>
      <c r="Q21" s="2">
        <f t="shared" ref="Q21:Q26" si="4">+C21-15018.5</f>
        <v>28430.184000000001</v>
      </c>
    </row>
    <row r="22" spans="1:18" x14ac:dyDescent="0.2">
      <c r="A22" s="30" t="s">
        <v>29</v>
      </c>
      <c r="B22" s="31" t="s">
        <v>40</v>
      </c>
      <c r="C22" s="32">
        <v>52664.584799999997</v>
      </c>
      <c r="D22" s="30">
        <v>4.0000000000000002E-4</v>
      </c>
      <c r="E22">
        <f t="shared" si="0"/>
        <v>6936.3415221579926</v>
      </c>
      <c r="F22">
        <f t="shared" si="1"/>
        <v>6936.5</v>
      </c>
      <c r="G22">
        <f t="shared" si="2"/>
        <v>-0.21056000000680797</v>
      </c>
      <c r="I22">
        <f t="shared" ref="I22:I26" si="5">+G22</f>
        <v>-0.21056000000680797</v>
      </c>
      <c r="O22">
        <f t="shared" ca="1" si="3"/>
        <v>-0.23801608685661962</v>
      </c>
      <c r="Q22" s="2">
        <f t="shared" si="4"/>
        <v>37646.084799999997</v>
      </c>
      <c r="R22">
        <f t="shared" ref="R22:R28" ca="1" si="6">(O22-G22)^2</f>
        <v>7.5383670510440056E-4</v>
      </c>
    </row>
    <row r="23" spans="1:18" x14ac:dyDescent="0.2">
      <c r="A23" t="s">
        <v>29</v>
      </c>
      <c r="C23" s="10">
        <v>52729.694300000003</v>
      </c>
      <c r="D23" s="10">
        <v>2.0000000000000001E-4</v>
      </c>
      <c r="E23">
        <f t="shared" si="0"/>
        <v>6985.3461434248566</v>
      </c>
      <c r="F23">
        <f t="shared" si="1"/>
        <v>6985.5</v>
      </c>
      <c r="G23">
        <f t="shared" si="2"/>
        <v>-0.20441999999457039</v>
      </c>
      <c r="I23">
        <f t="shared" si="5"/>
        <v>-0.20441999999457039</v>
      </c>
      <c r="O23">
        <f t="shared" ca="1" si="3"/>
        <v>-0.2349522545948402</v>
      </c>
      <c r="Q23" s="2">
        <f t="shared" si="4"/>
        <v>37711.194300000003</v>
      </c>
      <c r="R23">
        <f t="shared" ca="1" si="6"/>
        <v>9.3221857097569724E-4</v>
      </c>
    </row>
    <row r="24" spans="1:18" x14ac:dyDescent="0.2">
      <c r="A24" s="33" t="s">
        <v>39</v>
      </c>
      <c r="B24" s="34" t="s">
        <v>41</v>
      </c>
      <c r="C24" s="30">
        <v>54051.6976</v>
      </c>
      <c r="D24" s="30">
        <v>1E-3</v>
      </c>
      <c r="E24">
        <f t="shared" si="0"/>
        <v>7980.3510356454708</v>
      </c>
      <c r="F24">
        <f t="shared" si="1"/>
        <v>7980.5</v>
      </c>
      <c r="G24">
        <f t="shared" si="2"/>
        <v>-0.19792000000597909</v>
      </c>
      <c r="I24">
        <f t="shared" si="5"/>
        <v>-0.19792000000597909</v>
      </c>
      <c r="O24">
        <f t="shared" ca="1" si="3"/>
        <v>-0.17273770152401274</v>
      </c>
      <c r="Q24" s="2">
        <f t="shared" si="4"/>
        <v>39033.1976</v>
      </c>
      <c r="R24">
        <f t="shared" ca="1" si="6"/>
        <v>6.3414815683484466E-4</v>
      </c>
    </row>
    <row r="25" spans="1:18" x14ac:dyDescent="0.2">
      <c r="A25" s="27" t="s">
        <v>39</v>
      </c>
      <c r="B25" s="28" t="s">
        <v>40</v>
      </c>
      <c r="C25" s="29">
        <v>54067.609900000003</v>
      </c>
      <c r="D25" s="29">
        <v>1.1000000000000001E-3</v>
      </c>
      <c r="E25">
        <f t="shared" si="0"/>
        <v>7992.3274175096349</v>
      </c>
      <c r="F25">
        <f t="shared" si="1"/>
        <v>7992.5</v>
      </c>
      <c r="G25">
        <f t="shared" si="2"/>
        <v>-0.22929999999905704</v>
      </c>
      <c r="I25">
        <f t="shared" si="5"/>
        <v>-0.22929999999905704</v>
      </c>
      <c r="O25">
        <f t="shared" ca="1" si="3"/>
        <v>-0.17198737525582186</v>
      </c>
      <c r="Q25" s="2">
        <f t="shared" si="4"/>
        <v>39049.109900000003</v>
      </c>
      <c r="R25">
        <f t="shared" ca="1" si="6"/>
        <v>3.2847369549588927E-3</v>
      </c>
    </row>
    <row r="26" spans="1:18" x14ac:dyDescent="0.2">
      <c r="A26" s="33" t="s">
        <v>39</v>
      </c>
      <c r="B26" s="34" t="s">
        <v>41</v>
      </c>
      <c r="C26" s="30">
        <v>54067.647799999999</v>
      </c>
      <c r="D26" s="30">
        <v>1.4E-3</v>
      </c>
      <c r="E26">
        <f t="shared" si="0"/>
        <v>7992.3559429190727</v>
      </c>
      <c r="F26">
        <f t="shared" si="1"/>
        <v>7992.5</v>
      </c>
      <c r="G26">
        <f t="shared" si="2"/>
        <v>-0.19140000000334112</v>
      </c>
      <c r="I26">
        <f t="shared" si="5"/>
        <v>-0.19140000000334112</v>
      </c>
      <c r="O26">
        <f t="shared" ca="1" si="3"/>
        <v>-0.17198737525582186</v>
      </c>
      <c r="Q26" s="2">
        <f t="shared" si="4"/>
        <v>39049.147799999999</v>
      </c>
      <c r="R26">
        <f t="shared" ca="1" si="6"/>
        <v>3.7684999958799713E-4</v>
      </c>
    </row>
    <row r="27" spans="1:18" x14ac:dyDescent="0.2">
      <c r="A27" s="35" t="s">
        <v>44</v>
      </c>
      <c r="B27" s="36" t="s">
        <v>41</v>
      </c>
      <c r="C27" s="35">
        <v>55881.595000000001</v>
      </c>
      <c r="D27" s="35">
        <v>0.02</v>
      </c>
      <c r="E27">
        <f>+(C27-C$7)/C$8</f>
        <v>9357.622079720617</v>
      </c>
      <c r="F27">
        <f>ROUND(2*E27,0)/2</f>
        <v>9357.5</v>
      </c>
      <c r="G27">
        <f>+C27-(C$7+F27*C$8)</f>
        <v>0.16219999999884749</v>
      </c>
      <c r="J27">
        <f>+G27</f>
        <v>0.16219999999884749</v>
      </c>
      <c r="O27">
        <f ca="1">+C$11+C$12*F27</f>
        <v>-8.6637762249108796E-2</v>
      </c>
      <c r="Q27" s="2">
        <f>+C27-15018.5</f>
        <v>40863.095000000001</v>
      </c>
      <c r="R27">
        <f t="shared" ca="1" si="6"/>
        <v>6.1920231920570418E-2</v>
      </c>
    </row>
    <row r="28" spans="1:18" x14ac:dyDescent="0.2">
      <c r="A28" s="35" t="s">
        <v>44</v>
      </c>
      <c r="B28" s="36" t="s">
        <v>40</v>
      </c>
      <c r="C28" s="35">
        <v>55884.463000000003</v>
      </c>
      <c r="D28" s="35">
        <v>8.0000000000000002E-3</v>
      </c>
      <c r="E28">
        <f>+(C28-C$7)/C$8</f>
        <v>9359.7806779865132</v>
      </c>
      <c r="F28">
        <f>ROUND(2*E28,0)/2</f>
        <v>9360</v>
      </c>
      <c r="G28">
        <f>+C28-(C$7+F28*C$8)</f>
        <v>-0.29140000000188593</v>
      </c>
      <c r="J28">
        <f>+G28</f>
        <v>-0.29140000000188593</v>
      </c>
      <c r="O28">
        <f ca="1">+C$11+C$12*F28</f>
        <v>-8.6481444276569008E-2</v>
      </c>
      <c r="Q28" s="2">
        <f>+C28-15018.5</f>
        <v>40865.963000000003</v>
      </c>
      <c r="R28">
        <f t="shared" ca="1" si="6"/>
        <v>4.1991614480549819E-2</v>
      </c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494"/>
  <sheetViews>
    <sheetView workbookViewId="0">
      <selection activeCell="D18" sqref="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2.5703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x14ac:dyDescent="0.2">
      <c r="A2" t="s">
        <v>25</v>
      </c>
      <c r="B2" s="9" t="s">
        <v>31</v>
      </c>
    </row>
    <row r="4" spans="1:7" x14ac:dyDescent="0.2">
      <c r="A4" s="6" t="s">
        <v>0</v>
      </c>
      <c r="C4" s="3">
        <v>43448.684000000001</v>
      </c>
      <c r="D4" s="4">
        <v>0.63847730000000003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43448.684000000001</v>
      </c>
    </row>
    <row r="8" spans="1:7" x14ac:dyDescent="0.2">
      <c r="A8" t="s">
        <v>3</v>
      </c>
      <c r="C8">
        <v>1.385032</v>
      </c>
    </row>
    <row r="9" spans="1:7" x14ac:dyDescent="0.2">
      <c r="A9" s="11" t="s">
        <v>34</v>
      </c>
      <c r="B9" s="12"/>
      <c r="C9" s="13">
        <v>-9.5</v>
      </c>
      <c r="D9" s="12" t="s">
        <v>35</v>
      </c>
      <c r="E9" s="12"/>
    </row>
    <row r="10" spans="1:7" ht="13.5" thickBot="1" x14ac:dyDescent="0.25">
      <c r="A10" s="12"/>
      <c r="B10" s="12"/>
      <c r="C10" s="5" t="s">
        <v>21</v>
      </c>
      <c r="D10" s="5" t="s">
        <v>22</v>
      </c>
      <c r="E10" s="12"/>
    </row>
    <row r="11" spans="1:7" x14ac:dyDescent="0.2">
      <c r="A11" s="12" t="s">
        <v>16</v>
      </c>
      <c r="B11" s="12"/>
      <c r="C11" s="14">
        <f ca="1">INTERCEPT(INDIRECT($G$11):G992,INDIRECT($F$11):F992)</f>
        <v>-1.1272698143535798</v>
      </c>
      <c r="D11" s="15"/>
      <c r="E11" s="12"/>
      <c r="F11" s="16" t="str">
        <f>"F"&amp;E19</f>
        <v>F22</v>
      </c>
      <c r="G11" s="17" t="str">
        <f>"G"&amp;E19</f>
        <v>G22</v>
      </c>
    </row>
    <row r="12" spans="1:7" x14ac:dyDescent="0.2">
      <c r="A12" s="12" t="s">
        <v>17</v>
      </c>
      <c r="B12" s="12"/>
      <c r="C12" s="14">
        <f ca="1">SLOPE(INDIRECT($G$11):G992,INDIRECT($F$11):F992)</f>
        <v>1.4457232019573257E-4</v>
      </c>
      <c r="D12" s="15"/>
      <c r="E12" s="49" t="s">
        <v>51</v>
      </c>
      <c r="F12" s="50" t="s">
        <v>50</v>
      </c>
    </row>
    <row r="13" spans="1:7" x14ac:dyDescent="0.2">
      <c r="A13" s="12" t="s">
        <v>20</v>
      </c>
      <c r="B13" s="12"/>
      <c r="C13" s="15" t="s">
        <v>14</v>
      </c>
      <c r="D13" s="15"/>
      <c r="E13" s="42" t="s">
        <v>42</v>
      </c>
      <c r="F13" s="51">
        <v>1</v>
      </c>
    </row>
    <row r="14" spans="1:7" x14ac:dyDescent="0.2">
      <c r="A14" s="12"/>
      <c r="B14" s="12"/>
      <c r="C14" s="12"/>
      <c r="D14" s="12"/>
      <c r="E14" s="42" t="s">
        <v>36</v>
      </c>
      <c r="F14" s="44">
        <f ca="1">NOW()+15018.5+$C$9/24</f>
        <v>60520.856765277778</v>
      </c>
    </row>
    <row r="15" spans="1:7" x14ac:dyDescent="0.2">
      <c r="A15" s="18" t="s">
        <v>18</v>
      </c>
      <c r="B15" s="12"/>
      <c r="C15" s="19">
        <f ca="1">(C7+C11)+(C8+C12)*INT(MAX(F21:F3533))</f>
        <v>55883.671996476369</v>
      </c>
      <c r="D15" s="20"/>
      <c r="E15" s="42" t="s">
        <v>43</v>
      </c>
      <c r="F15" s="44">
        <f ca="1">ROUND(2*($F$14-$C$7)/$C$8,0)/2+$F$13</f>
        <v>12327</v>
      </c>
    </row>
    <row r="16" spans="1:7" x14ac:dyDescent="0.2">
      <c r="A16" s="21" t="s">
        <v>4</v>
      </c>
      <c r="B16" s="12"/>
      <c r="C16" s="22">
        <f ca="1">+C8+C12</f>
        <v>1.3851765723201959</v>
      </c>
      <c r="D16" s="20"/>
      <c r="E16" s="42" t="s">
        <v>37</v>
      </c>
      <c r="F16" s="44">
        <f ca="1">ROUND(2*($F$14-$C$15)/$C$16,0)/2+$F$13</f>
        <v>3348.5</v>
      </c>
    </row>
    <row r="17" spans="1:18" ht="13.5" thickBot="1" x14ac:dyDescent="0.25">
      <c r="A17" s="20" t="s">
        <v>32</v>
      </c>
      <c r="B17" s="12"/>
      <c r="C17" s="12">
        <f>COUNT(C21:C2191)</f>
        <v>8</v>
      </c>
      <c r="D17" s="20"/>
      <c r="E17" s="45" t="s">
        <v>47</v>
      </c>
      <c r="F17" s="46">
        <f ca="1">+$C$15+$C$16*$F$16-15018.5-$C$9/24</f>
        <v>45503.83158222388</v>
      </c>
    </row>
    <row r="18" spans="1:18" x14ac:dyDescent="0.2">
      <c r="A18" s="21" t="s">
        <v>5</v>
      </c>
      <c r="B18" s="12"/>
      <c r="C18" s="23">
        <f ca="1">+C15</f>
        <v>55883.671996476369</v>
      </c>
      <c r="D18" s="24">
        <f ca="1">+C16</f>
        <v>1.3851765723201959</v>
      </c>
      <c r="E18" s="48" t="s">
        <v>48</v>
      </c>
      <c r="F18" s="47">
        <f ca="1">+($C$15+$C$16*$F$16)-($C$16/2)-15018.5-$C$9/24</f>
        <v>45503.138993937719</v>
      </c>
      <c r="R18">
        <f ca="1">SQRT(SUM(R22:R26)/4)</f>
        <v>8.2786829266195447E-2</v>
      </c>
    </row>
    <row r="19" spans="1:18" ht="13.5" thickTop="1" x14ac:dyDescent="0.2">
      <c r="A19" s="25" t="s">
        <v>38</v>
      </c>
      <c r="E19" s="26">
        <v>22</v>
      </c>
    </row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30</v>
      </c>
      <c r="J20" s="8" t="s">
        <v>46</v>
      </c>
      <c r="K20" s="8" t="s">
        <v>19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15</v>
      </c>
    </row>
    <row r="21" spans="1:18" x14ac:dyDescent="0.2">
      <c r="A21" t="s">
        <v>12</v>
      </c>
      <c r="C21" s="10">
        <v>43448.684000000001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+C$11+C$12*F21</f>
        <v>-1.1272698143535798</v>
      </c>
      <c r="Q21" s="2">
        <f t="shared" ref="Q21:Q26" si="4">+C21-15018.5</f>
        <v>28430.184000000001</v>
      </c>
    </row>
    <row r="22" spans="1:18" x14ac:dyDescent="0.2">
      <c r="A22" s="30" t="s">
        <v>29</v>
      </c>
      <c r="B22" s="31" t="s">
        <v>40</v>
      </c>
      <c r="C22" s="32">
        <v>52664.584799999997</v>
      </c>
      <c r="D22" s="30">
        <v>4.0000000000000002E-4</v>
      </c>
      <c r="E22">
        <f t="shared" si="0"/>
        <v>6653.9262630755065</v>
      </c>
      <c r="F22">
        <f t="shared" si="1"/>
        <v>6654</v>
      </c>
      <c r="G22">
        <f t="shared" si="2"/>
        <v>-0.10212800000590505</v>
      </c>
      <c r="I22">
        <f t="shared" ref="I22:I26" si="5">+G22</f>
        <v>-0.10212800000590505</v>
      </c>
      <c r="O22">
        <f t="shared" ca="1" si="3"/>
        <v>-0.16528559577117519</v>
      </c>
      <c r="Q22" s="2">
        <f t="shared" si="4"/>
        <v>37646.084799999997</v>
      </c>
      <c r="R22">
        <f t="shared" ref="R22:R28" ca="1" si="6">(O22-G22)^2</f>
        <v>3.9888819028492681E-3</v>
      </c>
    </row>
    <row r="23" spans="1:18" x14ac:dyDescent="0.2">
      <c r="A23" t="s">
        <v>29</v>
      </c>
      <c r="C23" s="10">
        <v>52729.694300000003</v>
      </c>
      <c r="D23" s="10">
        <v>2.0000000000000001E-4</v>
      </c>
      <c r="E23">
        <f t="shared" si="0"/>
        <v>6700.9356462522173</v>
      </c>
      <c r="F23">
        <f t="shared" si="1"/>
        <v>6701</v>
      </c>
      <c r="G23">
        <f t="shared" si="2"/>
        <v>-8.9132000000972766E-2</v>
      </c>
      <c r="I23">
        <f t="shared" si="5"/>
        <v>-8.9132000000972766E-2</v>
      </c>
      <c r="O23">
        <f t="shared" ca="1" si="3"/>
        <v>-0.1584906967219758</v>
      </c>
      <c r="Q23" s="2">
        <f t="shared" si="4"/>
        <v>37711.194300000003</v>
      </c>
      <c r="R23">
        <f t="shared" ca="1" si="6"/>
        <v>4.8106288108360771E-3</v>
      </c>
    </row>
    <row r="24" spans="1:18" x14ac:dyDescent="0.2">
      <c r="A24" s="33" t="s">
        <v>39</v>
      </c>
      <c r="B24" s="34" t="s">
        <v>41</v>
      </c>
      <c r="C24" s="30">
        <v>54051.6976</v>
      </c>
      <c r="D24" s="30">
        <v>1E-3</v>
      </c>
      <c r="E24">
        <f t="shared" si="0"/>
        <v>7655.4286110357007</v>
      </c>
      <c r="F24">
        <f t="shared" si="1"/>
        <v>7655.5</v>
      </c>
      <c r="G24">
        <f t="shared" si="2"/>
        <v>-9.8876000003656372E-2</v>
      </c>
      <c r="I24">
        <f t="shared" si="5"/>
        <v>-9.8876000003656372E-2</v>
      </c>
      <c r="O24">
        <f t="shared" ca="1" si="3"/>
        <v>-2.0496417095149155E-2</v>
      </c>
      <c r="Q24" s="2">
        <f t="shared" si="4"/>
        <v>39033.1976</v>
      </c>
      <c r="R24">
        <f t="shared" ca="1" si="6"/>
        <v>6.1433590169115565E-3</v>
      </c>
    </row>
    <row r="25" spans="1:18" x14ac:dyDescent="0.2">
      <c r="A25" s="27" t="s">
        <v>39</v>
      </c>
      <c r="B25" s="28" t="s">
        <v>40</v>
      </c>
      <c r="C25" s="29">
        <v>54067.609900000003</v>
      </c>
      <c r="D25" s="29">
        <v>1.1000000000000001E-3</v>
      </c>
      <c r="E25">
        <f t="shared" si="0"/>
        <v>7666.9173708621911</v>
      </c>
      <c r="F25">
        <f t="shared" si="1"/>
        <v>7667</v>
      </c>
      <c r="G25">
        <f t="shared" si="2"/>
        <v>-0.11444399999891175</v>
      </c>
      <c r="I25">
        <f t="shared" si="5"/>
        <v>-0.11444399999891175</v>
      </c>
      <c r="O25">
        <f t="shared" ca="1" si="3"/>
        <v>-1.883383541289807E-2</v>
      </c>
      <c r="Q25" s="2">
        <f t="shared" si="4"/>
        <v>39049.109900000003</v>
      </c>
      <c r="R25">
        <f t="shared" ca="1" si="6"/>
        <v>9.1413035721646246E-3</v>
      </c>
    </row>
    <row r="26" spans="1:18" x14ac:dyDescent="0.2">
      <c r="A26" s="33" t="s">
        <v>39</v>
      </c>
      <c r="B26" s="34" t="s">
        <v>41</v>
      </c>
      <c r="C26" s="30">
        <v>54067.647799999999</v>
      </c>
      <c r="D26" s="30">
        <v>1.4E-3</v>
      </c>
      <c r="E26">
        <f t="shared" si="0"/>
        <v>7666.9447348508893</v>
      </c>
      <c r="F26">
        <f t="shared" si="1"/>
        <v>7667</v>
      </c>
      <c r="G26">
        <f t="shared" si="2"/>
        <v>-7.6544000003195833E-2</v>
      </c>
      <c r="I26">
        <f t="shared" si="5"/>
        <v>-7.6544000003195833E-2</v>
      </c>
      <c r="O26">
        <f t="shared" ca="1" si="3"/>
        <v>-1.883383541289807E-2</v>
      </c>
      <c r="Q26" s="2">
        <f t="shared" si="4"/>
        <v>39049.147799999999</v>
      </c>
      <c r="R26">
        <f t="shared" ca="1" si="6"/>
        <v>3.3304630970392578E-3</v>
      </c>
    </row>
    <row r="27" spans="1:18" x14ac:dyDescent="0.2">
      <c r="A27" s="35" t="s">
        <v>44</v>
      </c>
      <c r="B27" s="36" t="s">
        <v>41</v>
      </c>
      <c r="C27" s="35">
        <v>55881.595000000001</v>
      </c>
      <c r="D27" s="35">
        <v>0.02</v>
      </c>
      <c r="E27">
        <f>+(C27-C$7)/C$8</f>
        <v>8976.6236447966548</v>
      </c>
      <c r="F27">
        <f>ROUND(2*E27,0)/2</f>
        <v>8976.5</v>
      </c>
      <c r="G27">
        <f>+C27-(C$7+F27*C$8)</f>
        <v>0.17125200000009499</v>
      </c>
      <c r="J27">
        <f>+G27</f>
        <v>0.17125200000009499</v>
      </c>
      <c r="O27">
        <f ca="1">+C$11+C$12*F27</f>
        <v>0.17048361788341371</v>
      </c>
      <c r="Q27" s="2">
        <f>+C27-15018.5</f>
        <v>40863.095000000001</v>
      </c>
      <c r="R27">
        <f t="shared" ca="1" si="6"/>
        <v>5.9041107723561592E-7</v>
      </c>
    </row>
    <row r="28" spans="1:18" x14ac:dyDescent="0.2">
      <c r="A28" s="35" t="s">
        <v>44</v>
      </c>
      <c r="B28" s="36" t="s">
        <v>40</v>
      </c>
      <c r="C28" s="35">
        <v>55884.463000000003</v>
      </c>
      <c r="D28" s="35">
        <v>8.0000000000000002E-3</v>
      </c>
      <c r="E28">
        <f>+(C28-C$7)/C$8</f>
        <v>8978.6943550762735</v>
      </c>
      <c r="F28">
        <f>ROUND(2*E28,0)/2</f>
        <v>8978.5</v>
      </c>
      <c r="G28">
        <f>+C28-(C$7+F28*C$8)</f>
        <v>0.26918800000566989</v>
      </c>
      <c r="J28">
        <f>+G28</f>
        <v>0.26918800000566989</v>
      </c>
      <c r="O28">
        <f ca="1">+C$11+C$12*F28</f>
        <v>0.17077276252380513</v>
      </c>
      <c r="Q28" s="2">
        <f>+C28-15018.5</f>
        <v>40865.963000000003</v>
      </c>
      <c r="R28">
        <f t="shared" ca="1" si="6"/>
        <v>9.6855589686118387E-3</v>
      </c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94"/>
  <sheetViews>
    <sheetView workbookViewId="0">
      <selection activeCell="D18" sqref="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5703125" customWidth="1"/>
    <col min="6" max="6" width="17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x14ac:dyDescent="0.2">
      <c r="A2" t="s">
        <v>25</v>
      </c>
      <c r="B2" s="9" t="s">
        <v>31</v>
      </c>
    </row>
    <row r="4" spans="1:7" x14ac:dyDescent="0.2">
      <c r="A4" s="6" t="s">
        <v>0</v>
      </c>
      <c r="C4" s="3">
        <v>43448.684000000001</v>
      </c>
      <c r="D4" s="4">
        <v>0.63847730000000003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43448.684000000001</v>
      </c>
    </row>
    <row r="8" spans="1:7" x14ac:dyDescent="0.2">
      <c r="A8" t="s">
        <v>3</v>
      </c>
      <c r="C8">
        <v>1.4471860000000001</v>
      </c>
    </row>
    <row r="9" spans="1:7" x14ac:dyDescent="0.2">
      <c r="A9" s="11" t="s">
        <v>34</v>
      </c>
      <c r="B9" s="12"/>
      <c r="C9" s="13">
        <v>-9.5</v>
      </c>
      <c r="D9" s="12" t="s">
        <v>35</v>
      </c>
      <c r="E9" s="12"/>
    </row>
    <row r="10" spans="1:7" ht="13.5" thickBot="1" x14ac:dyDescent="0.25">
      <c r="A10" s="12"/>
      <c r="B10" s="12"/>
      <c r="C10" s="5" t="s">
        <v>21</v>
      </c>
      <c r="D10" s="5" t="s">
        <v>22</v>
      </c>
      <c r="E10" s="12"/>
    </row>
    <row r="11" spans="1:7" x14ac:dyDescent="0.2">
      <c r="A11" s="12" t="s">
        <v>16</v>
      </c>
      <c r="B11" s="12"/>
      <c r="C11" s="14">
        <f ca="1">INTERCEPT(INDIRECT($G$11):G992,INDIRECT($F$11):F992)</f>
        <v>0.50910549084776702</v>
      </c>
      <c r="D11" s="15"/>
      <c r="E11" s="12"/>
      <c r="F11" s="16" t="str">
        <f>"F"&amp;E19</f>
        <v>F22</v>
      </c>
      <c r="G11" s="17" t="str">
        <f>"G"&amp;E19</f>
        <v>G22</v>
      </c>
    </row>
    <row r="12" spans="1:7" x14ac:dyDescent="0.2">
      <c r="A12" s="12" t="s">
        <v>17</v>
      </c>
      <c r="B12" s="12"/>
      <c r="C12" s="14">
        <f ca="1">SLOPE(INDIRECT($G$11):G992,INDIRECT($F$11):F992)</f>
        <v>-4.3308813099714375E-5</v>
      </c>
      <c r="D12" s="15"/>
      <c r="E12" s="49" t="s">
        <v>51</v>
      </c>
      <c r="F12" s="50" t="s">
        <v>50</v>
      </c>
    </row>
    <row r="13" spans="1:7" x14ac:dyDescent="0.2">
      <c r="A13" s="12" t="s">
        <v>20</v>
      </c>
      <c r="B13" s="12"/>
      <c r="C13" s="15" t="s">
        <v>14</v>
      </c>
      <c r="D13" s="15"/>
      <c r="E13" s="42" t="s">
        <v>42</v>
      </c>
      <c r="F13" s="43">
        <v>1</v>
      </c>
    </row>
    <row r="14" spans="1:7" x14ac:dyDescent="0.2">
      <c r="A14" s="12"/>
      <c r="B14" s="12"/>
      <c r="C14" s="12"/>
      <c r="D14" s="12"/>
      <c r="E14" s="42" t="s">
        <v>36</v>
      </c>
      <c r="F14" s="44">
        <f ca="1">NOW()+15018.5+$C$9/24</f>
        <v>60520.856765277778</v>
      </c>
    </row>
    <row r="15" spans="1:7" x14ac:dyDescent="0.2">
      <c r="A15" s="18" t="s">
        <v>18</v>
      </c>
      <c r="B15" s="12"/>
      <c r="C15" s="19">
        <f ca="1">(C7+C11)+(C8+C12)*INT(MAX(F21:F3533))</f>
        <v>55884.490250859883</v>
      </c>
      <c r="D15" s="20"/>
      <c r="E15" s="42" t="s">
        <v>43</v>
      </c>
      <c r="F15" s="44">
        <f ca="1">ROUND(2*($F$14-$C$7)/$C$8,0)/2+$F$13</f>
        <v>11798</v>
      </c>
    </row>
    <row r="16" spans="1:7" x14ac:dyDescent="0.2">
      <c r="A16" s="21" t="s">
        <v>4</v>
      </c>
      <c r="B16" s="12"/>
      <c r="C16" s="22">
        <f ca="1">+C8+C12</f>
        <v>1.4471426911869003</v>
      </c>
      <c r="D16" s="20"/>
      <c r="E16" s="42" t="s">
        <v>37</v>
      </c>
      <c r="F16" s="44">
        <f ca="1">ROUND(2*($F$14-$C$15)/$C$16,0)/2+$F$13</f>
        <v>3205</v>
      </c>
    </row>
    <row r="17" spans="1:18" ht="13.5" thickBot="1" x14ac:dyDescent="0.25">
      <c r="A17" s="20" t="s">
        <v>32</v>
      </c>
      <c r="B17" s="12"/>
      <c r="C17" s="12">
        <f>COUNT(C21:C2191)</f>
        <v>8</v>
      </c>
      <c r="D17" s="20"/>
      <c r="E17" s="45" t="s">
        <v>47</v>
      </c>
      <c r="F17" s="46">
        <f ca="1">+$C$15+$C$16*$F$16-15018.5-$C$9/24</f>
        <v>45504.478409447234</v>
      </c>
    </row>
    <row r="18" spans="1:18" x14ac:dyDescent="0.2">
      <c r="A18" s="21" t="s">
        <v>5</v>
      </c>
      <c r="B18" s="12"/>
      <c r="C18" s="23">
        <f ca="1">+C15</f>
        <v>55884.490250859883</v>
      </c>
      <c r="D18" s="24">
        <f ca="1">+C16</f>
        <v>1.4471426911869003</v>
      </c>
      <c r="E18" s="48" t="s">
        <v>48</v>
      </c>
      <c r="F18" s="47">
        <f ca="1">+($C$15+$C$16*$F$16)-($C$16/2)-15018.5-$C$9/24</f>
        <v>45503.754838101639</v>
      </c>
      <c r="R18">
        <f ca="1">SQRT(SUM(R22:R26)/4)</f>
        <v>2.7692262518011782E-2</v>
      </c>
    </row>
    <row r="19" spans="1:18" ht="13.5" thickTop="1" x14ac:dyDescent="0.2">
      <c r="A19" s="25" t="s">
        <v>38</v>
      </c>
      <c r="E19" s="26">
        <v>22</v>
      </c>
      <c r="F19" s="39"/>
    </row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30</v>
      </c>
      <c r="J20" s="8" t="s">
        <v>46</v>
      </c>
      <c r="K20" s="8" t="s">
        <v>19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15</v>
      </c>
    </row>
    <row r="21" spans="1:18" x14ac:dyDescent="0.2">
      <c r="A21" t="s">
        <v>12</v>
      </c>
      <c r="C21" s="10">
        <v>43448.684000000001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+C$11+C$12*F21</f>
        <v>0.50910549084776702</v>
      </c>
      <c r="Q21" s="2">
        <f t="shared" ref="Q21:Q26" si="4">+C21-15018.5</f>
        <v>28430.184000000001</v>
      </c>
    </row>
    <row r="22" spans="1:18" x14ac:dyDescent="0.2">
      <c r="A22" s="30" t="s">
        <v>29</v>
      </c>
      <c r="B22" s="31" t="s">
        <v>40</v>
      </c>
      <c r="C22" s="32">
        <v>52664.584799999997</v>
      </c>
      <c r="D22" s="30">
        <v>4.0000000000000002E-4</v>
      </c>
      <c r="E22">
        <f t="shared" si="0"/>
        <v>6368.1522623905948</v>
      </c>
      <c r="F22">
        <f t="shared" si="1"/>
        <v>6368</v>
      </c>
      <c r="G22">
        <f t="shared" si="2"/>
        <v>0.22035199999663746</v>
      </c>
      <c r="I22">
        <f t="shared" ref="I22:I26" si="5">+G22</f>
        <v>0.22035199999663746</v>
      </c>
      <c r="O22">
        <f t="shared" ca="1" si="3"/>
        <v>0.2333149690287859</v>
      </c>
      <c r="Q22" s="2">
        <f t="shared" si="4"/>
        <v>37646.084799999997</v>
      </c>
      <c r="R22">
        <f t="shared" ref="R22:R28" ca="1" si="6">(O22-G22)^2</f>
        <v>1.680385661284395E-4</v>
      </c>
    </row>
    <row r="23" spans="1:18" x14ac:dyDescent="0.2">
      <c r="A23" t="s">
        <v>29</v>
      </c>
      <c r="C23" s="10">
        <v>52729.694300000003</v>
      </c>
      <c r="D23" s="10">
        <v>2.0000000000000001E-4</v>
      </c>
      <c r="E23">
        <f t="shared" si="0"/>
        <v>6413.1426782735607</v>
      </c>
      <c r="F23">
        <f t="shared" si="1"/>
        <v>6413</v>
      </c>
      <c r="G23">
        <f t="shared" si="2"/>
        <v>0.20648200000141514</v>
      </c>
      <c r="I23">
        <f t="shared" si="5"/>
        <v>0.20648200000141514</v>
      </c>
      <c r="O23">
        <f t="shared" ca="1" si="3"/>
        <v>0.23136607243929874</v>
      </c>
      <c r="Q23" s="2">
        <f t="shared" si="4"/>
        <v>37711.194300000003</v>
      </c>
      <c r="R23">
        <f t="shared" ca="1" si="6"/>
        <v>6.1921706109383814E-4</v>
      </c>
    </row>
    <row r="24" spans="1:18" x14ac:dyDescent="0.2">
      <c r="A24" s="33" t="s">
        <v>39</v>
      </c>
      <c r="B24" s="34" t="s">
        <v>41</v>
      </c>
      <c r="C24" s="30">
        <v>54051.6976</v>
      </c>
      <c r="D24" s="30">
        <v>1E-3</v>
      </c>
      <c r="E24">
        <f t="shared" si="0"/>
        <v>7326.6419105768009</v>
      </c>
      <c r="F24">
        <f t="shared" si="1"/>
        <v>7326.5</v>
      </c>
      <c r="G24">
        <f t="shared" si="2"/>
        <v>0.20537099999637576</v>
      </c>
      <c r="I24">
        <f t="shared" si="5"/>
        <v>0.20537099999637576</v>
      </c>
      <c r="O24">
        <f t="shared" ca="1" si="3"/>
        <v>0.19180347167270967</v>
      </c>
      <c r="Q24" s="2">
        <f t="shared" si="4"/>
        <v>39033.1976</v>
      </c>
      <c r="R24">
        <f t="shared" ca="1" si="6"/>
        <v>1.8407782481348156E-4</v>
      </c>
    </row>
    <row r="25" spans="1:18" x14ac:dyDescent="0.2">
      <c r="A25" s="27" t="s">
        <v>39</v>
      </c>
      <c r="B25" s="28" t="s">
        <v>40</v>
      </c>
      <c r="C25" s="29">
        <v>54067.609900000003</v>
      </c>
      <c r="D25" s="29">
        <v>1.1000000000000001E-3</v>
      </c>
      <c r="E25">
        <f t="shared" si="0"/>
        <v>7337.6372491165621</v>
      </c>
      <c r="F25">
        <f t="shared" si="1"/>
        <v>7337.5</v>
      </c>
      <c r="G25">
        <f t="shared" si="2"/>
        <v>0.19862499999726424</v>
      </c>
      <c r="I25">
        <f t="shared" si="5"/>
        <v>0.19862499999726424</v>
      </c>
      <c r="O25">
        <f t="shared" ca="1" si="3"/>
        <v>0.19132707472861277</v>
      </c>
      <c r="Q25" s="2">
        <f t="shared" si="4"/>
        <v>39049.109900000003</v>
      </c>
      <c r="R25">
        <f t="shared" ca="1" si="6"/>
        <v>5.3259713226821671E-5</v>
      </c>
    </row>
    <row r="26" spans="1:18" x14ac:dyDescent="0.2">
      <c r="A26" s="33" t="s">
        <v>39</v>
      </c>
      <c r="B26" s="34" t="s">
        <v>41</v>
      </c>
      <c r="C26" s="30">
        <v>54067.647799999999</v>
      </c>
      <c r="D26" s="30">
        <v>1.4E-3</v>
      </c>
      <c r="E26">
        <f t="shared" si="0"/>
        <v>7337.66343787184</v>
      </c>
      <c r="F26">
        <f t="shared" si="1"/>
        <v>7337.5</v>
      </c>
      <c r="G26">
        <f t="shared" si="2"/>
        <v>0.23652499999298016</v>
      </c>
      <c r="I26">
        <f t="shared" si="5"/>
        <v>0.23652499999298016</v>
      </c>
      <c r="O26">
        <f t="shared" ca="1" si="3"/>
        <v>0.19132707472861277</v>
      </c>
      <c r="Q26" s="2">
        <f t="shared" si="4"/>
        <v>39049.147799999999</v>
      </c>
      <c r="R26">
        <f t="shared" ca="1" si="6"/>
        <v>2.0428524482033398E-3</v>
      </c>
    </row>
    <row r="27" spans="1:18" x14ac:dyDescent="0.2">
      <c r="A27" s="35" t="s">
        <v>44</v>
      </c>
      <c r="B27" s="36" t="s">
        <v>41</v>
      </c>
      <c r="C27" s="35">
        <v>55881.595000000001</v>
      </c>
      <c r="D27" s="35">
        <v>0.02</v>
      </c>
      <c r="E27">
        <f>+(C27-C$7)/C$8</f>
        <v>8591.094026614408</v>
      </c>
      <c r="F27">
        <f>ROUND(2*E27,0)/2</f>
        <v>8591</v>
      </c>
      <c r="G27">
        <f>+C27-(C$7+F27*C$8)</f>
        <v>0.13607400000182679</v>
      </c>
      <c r="J27">
        <f>+G27</f>
        <v>0.13607400000182679</v>
      </c>
      <c r="O27">
        <f ca="1">+C$11+C$12*F27</f>
        <v>0.13703947750812084</v>
      </c>
      <c r="Q27" s="2">
        <f>+C27-15018.5</f>
        <v>40863.095000000001</v>
      </c>
      <c r="R27">
        <f t="shared" ca="1" si="6"/>
        <v>9.3214681515978623E-7</v>
      </c>
    </row>
    <row r="28" spans="1:18" x14ac:dyDescent="0.2">
      <c r="A28" s="35" t="s">
        <v>44</v>
      </c>
      <c r="B28" s="36" t="s">
        <v>40</v>
      </c>
      <c r="C28" s="35">
        <v>55884.463000000003</v>
      </c>
      <c r="D28" s="35">
        <v>8.0000000000000002E-3</v>
      </c>
      <c r="E28">
        <f>+(C28-C$7)/C$8</f>
        <v>8593.0758036631105</v>
      </c>
      <c r="F28">
        <f>ROUND(2*E28,0)/2</f>
        <v>8593</v>
      </c>
      <c r="G28">
        <f>+C28-(C$7+F28*C$8)</f>
        <v>0.10970200000156183</v>
      </c>
      <c r="J28">
        <f>+G28</f>
        <v>0.10970200000156183</v>
      </c>
      <c r="O28">
        <f ca="1">+C$11+C$12*F28</f>
        <v>0.13695285988192141</v>
      </c>
      <c r="Q28" s="2">
        <f>+C28-15018.5</f>
        <v>40865.963000000003</v>
      </c>
      <c r="R28">
        <f t="shared" ca="1" si="6"/>
        <v>7.4260936421899132E-4</v>
      </c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Active 3</vt:lpstr>
      <vt:lpstr>Active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2024-07-29T08:33:44Z</dcterms:modified>
</cp:coreProperties>
</file>