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C87C06-AD7C-4047-BE5F-78F76D078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8" i="1" l="1"/>
  <c r="F58" i="1" s="1"/>
  <c r="G58" i="1" s="1"/>
  <c r="Q58" i="1"/>
  <c r="C58" i="1"/>
  <c r="A58" i="1"/>
  <c r="F14" i="1"/>
  <c r="Q62" i="1"/>
  <c r="Q63" i="1"/>
  <c r="Q64" i="1"/>
  <c r="E62" i="1"/>
  <c r="F62" i="1" s="1"/>
  <c r="G62" i="1" s="1"/>
  <c r="K62" i="1" s="1"/>
  <c r="E36" i="1"/>
  <c r="E31" i="2" s="1"/>
  <c r="E61" i="1"/>
  <c r="F61" i="1" s="1"/>
  <c r="G61" i="1" s="1"/>
  <c r="I61" i="1" s="1"/>
  <c r="E23" i="1"/>
  <c r="F23" i="1" s="1"/>
  <c r="G23" i="1" s="1"/>
  <c r="E28" i="1"/>
  <c r="F28" i="1" s="1"/>
  <c r="G28" i="1" s="1"/>
  <c r="S28" i="1" s="1"/>
  <c r="E30" i="1"/>
  <c r="F30" i="1" s="1"/>
  <c r="G30" i="1" s="1"/>
  <c r="E32" i="1"/>
  <c r="F32" i="1" s="1"/>
  <c r="G32" i="1" s="1"/>
  <c r="E34" i="1"/>
  <c r="F34" i="1" s="1"/>
  <c r="G34" i="1" s="1"/>
  <c r="E38" i="1"/>
  <c r="F38" i="1" s="1"/>
  <c r="G38" i="1" s="1"/>
  <c r="E40" i="1"/>
  <c r="F40" i="1" s="1"/>
  <c r="G40" i="1" s="1"/>
  <c r="E41" i="1"/>
  <c r="F41" i="1" s="1"/>
  <c r="G41" i="1" s="1"/>
  <c r="S41" i="1" s="1"/>
  <c r="E42" i="1"/>
  <c r="F42" i="1" s="1"/>
  <c r="G42" i="1" s="1"/>
  <c r="E44" i="1"/>
  <c r="F44" i="1" s="1"/>
  <c r="G44" i="1" s="1"/>
  <c r="E45" i="1"/>
  <c r="E40" i="2" s="1"/>
  <c r="E46" i="1"/>
  <c r="F46" i="1" s="1"/>
  <c r="G46" i="1" s="1"/>
  <c r="E48" i="1"/>
  <c r="F48" i="1" s="1"/>
  <c r="G48" i="1" s="1"/>
  <c r="S48" i="1" s="1"/>
  <c r="E49" i="1"/>
  <c r="F49" i="1" s="1"/>
  <c r="G49" i="1" s="1"/>
  <c r="E50" i="1"/>
  <c r="F50" i="1" s="1"/>
  <c r="G50" i="1" s="1"/>
  <c r="E56" i="1"/>
  <c r="F56" i="1" s="1"/>
  <c r="G56" i="1" s="1"/>
  <c r="I56" i="1" s="1"/>
  <c r="E57" i="1"/>
  <c r="F57" i="1" s="1"/>
  <c r="G57" i="1" s="1"/>
  <c r="I57" i="1" s="1"/>
  <c r="E52" i="1"/>
  <c r="E11" i="2" s="1"/>
  <c r="F52" i="1"/>
  <c r="G52" i="1" s="1"/>
  <c r="E54" i="1"/>
  <c r="E13" i="2" s="1"/>
  <c r="E26" i="1"/>
  <c r="F26" i="1" s="1"/>
  <c r="G26" i="1" s="1"/>
  <c r="H26" i="1" s="1"/>
  <c r="E55" i="1"/>
  <c r="F55" i="1" s="1"/>
  <c r="G55" i="1" s="1"/>
  <c r="J55" i="1" s="1"/>
  <c r="E60" i="1"/>
  <c r="F60" i="1" s="1"/>
  <c r="G60" i="1" s="1"/>
  <c r="K60" i="1" s="1"/>
  <c r="D9" i="1"/>
  <c r="C9" i="1"/>
  <c r="Q61" i="1"/>
  <c r="Q57" i="1"/>
  <c r="Q56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5" i="1"/>
  <c r="Q24" i="1"/>
  <c r="Q23" i="1"/>
  <c r="Q22" i="1"/>
  <c r="Q21" i="1"/>
  <c r="G49" i="2"/>
  <c r="C49" i="2"/>
  <c r="G16" i="2"/>
  <c r="C16" i="2"/>
  <c r="E16" i="2"/>
  <c r="G15" i="2"/>
  <c r="C15" i="2"/>
  <c r="G48" i="2"/>
  <c r="C48" i="2"/>
  <c r="E48" i="2"/>
  <c r="G47" i="2"/>
  <c r="C47" i="2"/>
  <c r="E47" i="2"/>
  <c r="G14" i="2"/>
  <c r="C14" i="2"/>
  <c r="G13" i="2"/>
  <c r="C13" i="2"/>
  <c r="G12" i="2"/>
  <c r="C12" i="2"/>
  <c r="G11" i="2"/>
  <c r="C11" i="2"/>
  <c r="G46" i="2"/>
  <c r="C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G39" i="2"/>
  <c r="C39" i="2"/>
  <c r="G38" i="2"/>
  <c r="C38" i="2"/>
  <c r="G37" i="2"/>
  <c r="C37" i="2"/>
  <c r="E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H49" i="2"/>
  <c r="B49" i="2"/>
  <c r="D49" i="2"/>
  <c r="A49" i="2"/>
  <c r="H16" i="2"/>
  <c r="B16" i="2"/>
  <c r="D16" i="2"/>
  <c r="A16" i="2"/>
  <c r="H15" i="2"/>
  <c r="B15" i="2"/>
  <c r="D15" i="2"/>
  <c r="A15" i="2"/>
  <c r="H48" i="2"/>
  <c r="B48" i="2"/>
  <c r="D48" i="2"/>
  <c r="A48" i="2"/>
  <c r="H47" i="2"/>
  <c r="B47" i="2"/>
  <c r="D47" i="2"/>
  <c r="A47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Q60" i="1"/>
  <c r="C17" i="1"/>
  <c r="Q59" i="1"/>
  <c r="Q55" i="1"/>
  <c r="Q52" i="1"/>
  <c r="Q53" i="1"/>
  <c r="Q54" i="1"/>
  <c r="Q26" i="1"/>
  <c r="E59" i="1"/>
  <c r="F59" i="1" s="1"/>
  <c r="G59" i="1" s="1"/>
  <c r="K59" i="1" s="1"/>
  <c r="E53" i="1"/>
  <c r="E12" i="2" s="1"/>
  <c r="E51" i="1"/>
  <c r="E46" i="2" s="1"/>
  <c r="E47" i="1"/>
  <c r="E42" i="2" s="1"/>
  <c r="E43" i="1"/>
  <c r="E38" i="2" s="1"/>
  <c r="E39" i="1"/>
  <c r="E34" i="2" s="1"/>
  <c r="E35" i="1"/>
  <c r="E30" i="2" s="1"/>
  <c r="E31" i="1"/>
  <c r="E26" i="2" s="1"/>
  <c r="E27" i="1"/>
  <c r="E22" i="2" s="1"/>
  <c r="E22" i="1"/>
  <c r="E18" i="2" s="1"/>
  <c r="F22" i="1"/>
  <c r="G22" i="1" s="1"/>
  <c r="I22" i="1" s="1"/>
  <c r="F36" i="1"/>
  <c r="G36" i="1" s="1"/>
  <c r="E63" i="1"/>
  <c r="F63" i="1" s="1"/>
  <c r="G63" i="1" s="1"/>
  <c r="K63" i="1" s="1"/>
  <c r="E37" i="1"/>
  <c r="E32" i="2" s="1"/>
  <c r="E25" i="1"/>
  <c r="F25" i="1" s="1"/>
  <c r="G25" i="1" s="1"/>
  <c r="E33" i="1"/>
  <c r="F33" i="1" s="1"/>
  <c r="G33" i="1" s="1"/>
  <c r="I33" i="1" s="1"/>
  <c r="E21" i="1"/>
  <c r="F21" i="1" s="1"/>
  <c r="G21" i="1" s="1"/>
  <c r="S21" i="1" s="1"/>
  <c r="E29" i="1"/>
  <c r="F29" i="1" s="1"/>
  <c r="G29" i="1" s="1"/>
  <c r="E64" i="1"/>
  <c r="F64" i="1" s="1"/>
  <c r="G64" i="1" s="1"/>
  <c r="K64" i="1" s="1"/>
  <c r="E24" i="1"/>
  <c r="F24" i="1" s="1"/>
  <c r="G24" i="1" s="1"/>
  <c r="C12" i="1"/>
  <c r="C11" i="1"/>
  <c r="E39" i="2" l="1"/>
  <c r="F37" i="1"/>
  <c r="G37" i="1" s="1"/>
  <c r="S37" i="1" s="1"/>
  <c r="E29" i="2"/>
  <c r="E28" i="2"/>
  <c r="E27" i="2"/>
  <c r="E23" i="2"/>
  <c r="E24" i="2"/>
  <c r="F47" i="1"/>
  <c r="G47" i="1" s="1"/>
  <c r="I47" i="1" s="1"/>
  <c r="O58" i="1"/>
  <c r="S58" i="1" s="1"/>
  <c r="K58" i="1"/>
  <c r="S34" i="1"/>
  <c r="I34" i="1"/>
  <c r="F43" i="1"/>
  <c r="G43" i="1" s="1"/>
  <c r="S43" i="1" s="1"/>
  <c r="E19" i="2"/>
  <c r="E14" i="2"/>
  <c r="F27" i="1"/>
  <c r="G27" i="1" s="1"/>
  <c r="I27" i="1" s="1"/>
  <c r="E35" i="2"/>
  <c r="E41" i="2"/>
  <c r="F53" i="1"/>
  <c r="G53" i="1" s="1"/>
  <c r="I44" i="1"/>
  <c r="S44" i="1"/>
  <c r="N52" i="1"/>
  <c r="S52" i="1"/>
  <c r="E49" i="2"/>
  <c r="E17" i="2"/>
  <c r="F35" i="1"/>
  <c r="G35" i="1" s="1"/>
  <c r="F51" i="1"/>
  <c r="G51" i="1" s="1"/>
  <c r="S51" i="1" s="1"/>
  <c r="F54" i="1"/>
  <c r="G54" i="1" s="1"/>
  <c r="F45" i="1"/>
  <c r="G45" i="1" s="1"/>
  <c r="S45" i="1" s="1"/>
  <c r="E20" i="2"/>
  <c r="E45" i="2"/>
  <c r="S46" i="1"/>
  <c r="I46" i="1"/>
  <c r="I30" i="1"/>
  <c r="S30" i="1"/>
  <c r="I29" i="1"/>
  <c r="S29" i="1"/>
  <c r="I36" i="1"/>
  <c r="S36" i="1"/>
  <c r="S54" i="1"/>
  <c r="I54" i="1"/>
  <c r="I42" i="1"/>
  <c r="S42" i="1"/>
  <c r="I50" i="1"/>
  <c r="S50" i="1"/>
  <c r="S40" i="1"/>
  <c r="I40" i="1"/>
  <c r="S49" i="1"/>
  <c r="I49" i="1"/>
  <c r="I38" i="1"/>
  <c r="S38" i="1"/>
  <c r="S23" i="1"/>
  <c r="I23" i="1"/>
  <c r="S25" i="1"/>
  <c r="I25" i="1"/>
  <c r="I32" i="1"/>
  <c r="S32" i="1"/>
  <c r="I53" i="1"/>
  <c r="S53" i="1"/>
  <c r="I24" i="1"/>
  <c r="S24" i="1"/>
  <c r="I37" i="1"/>
  <c r="E21" i="2"/>
  <c r="I48" i="1"/>
  <c r="E15" i="2"/>
  <c r="S33" i="1"/>
  <c r="E33" i="2"/>
  <c r="E25" i="2"/>
  <c r="I28" i="1"/>
  <c r="I41" i="1"/>
  <c r="I21" i="1"/>
  <c r="F39" i="1"/>
  <c r="G39" i="1" s="1"/>
  <c r="S22" i="1"/>
  <c r="F31" i="1"/>
  <c r="G31" i="1" s="1"/>
  <c r="E44" i="2"/>
  <c r="F15" i="1"/>
  <c r="O57" i="1"/>
  <c r="S57" i="1" s="1"/>
  <c r="O56" i="1"/>
  <c r="S56" i="1" s="1"/>
  <c r="O55" i="1"/>
  <c r="S55" i="1" s="1"/>
  <c r="O64" i="1"/>
  <c r="S64" i="1" s="1"/>
  <c r="O63" i="1"/>
  <c r="S63" i="1" s="1"/>
  <c r="O62" i="1"/>
  <c r="S62" i="1" s="1"/>
  <c r="O60" i="1"/>
  <c r="S60" i="1" s="1"/>
  <c r="O59" i="1"/>
  <c r="S59" i="1" s="1"/>
  <c r="O61" i="1"/>
  <c r="S61" i="1" s="1"/>
  <c r="C16" i="1"/>
  <c r="D18" i="1" s="1"/>
  <c r="I43" i="1" l="1"/>
  <c r="S47" i="1"/>
  <c r="I45" i="1"/>
  <c r="S27" i="1"/>
  <c r="I51" i="1"/>
  <c r="S35" i="1"/>
  <c r="I35" i="1"/>
  <c r="C15" i="1"/>
  <c r="F16" i="1" s="1"/>
  <c r="F18" i="1" s="1"/>
  <c r="I39" i="1"/>
  <c r="S39" i="1"/>
  <c r="S31" i="1"/>
  <c r="I31" i="1"/>
  <c r="S18" i="1" l="1"/>
  <c r="C18" i="1"/>
  <c r="F17" i="1"/>
</calcChain>
</file>

<file path=xl/sharedStrings.xml><?xml version="1.0" encoding="utf-8"?>
<sst xmlns="http://schemas.openxmlformats.org/spreadsheetml/2006/main" count="475" uniqueCount="219">
  <si>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</si>
  <si>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</si>
  <si>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</si>
  <si>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</si>
  <si>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</si>
  <si>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</si>
  <si>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</si>
  <si>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</si>
  <si>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</si>
  <si>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</si>
  <si>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</si>
  <si>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</si>
  <si>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</si>
  <si>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</si>
  <si>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</si>
  <si>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</si>
  <si>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</si>
  <si>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</si>
  <si>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</si>
  <si>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</si>
  <si>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</si>
  <si>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</si>
  <si>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</si>
  <si>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</si>
  <si>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</si>
  <si>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</si>
  <si>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</si>
  <si>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</si>
  <si>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</si>
  <si>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ASSPSCI 67,213</t>
  </si>
  <si>
    <t>K</t>
  </si>
  <si>
    <t>v</t>
  </si>
  <si>
    <t>Peter H</t>
  </si>
  <si>
    <t>BBSAG Bull.87</t>
  </si>
  <si>
    <t>B</t>
  </si>
  <si>
    <t>BBSAG Bull.91</t>
  </si>
  <si>
    <t>IBVS 5296</t>
  </si>
  <si>
    <t># of data points:</t>
  </si>
  <si>
    <t xml:space="preserve">CD Eri / GSC 05304-00571 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</si>
  <si>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</si>
  <si>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</si>
  <si>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</si>
  <si>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</si>
  <si>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</si>
  <si>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5920</t>
  </si>
  <si>
    <t>I</t>
  </si>
  <si>
    <t>ToMcat gives many periods</t>
  </si>
  <si>
    <t>It's very confusing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</si>
  <si>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</si>
  <si>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</si>
  <si>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</si>
  <si>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</si>
  <si>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</si>
  <si>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</si>
  <si>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</si>
  <si>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</si>
  <si>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</si>
  <si>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</si>
  <si>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</si>
  <si>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</si>
  <si>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</si>
  <si>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</si>
  <si>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2425543.499 </t>
  </si>
  <si>
    <t> 23.10.1928 23:58 </t>
  </si>
  <si>
    <t> -0.195 </t>
  </si>
  <si>
    <t>P </t>
  </si>
  <si>
    <t> W.Strohmeier </t>
  </si>
  <si>
    <t> VB 5.8 </t>
  </si>
  <si>
    <t>2425621.328 </t>
  </si>
  <si>
    <t> 09.01.1929 19:52 </t>
  </si>
  <si>
    <t> -0.038 </t>
  </si>
  <si>
    <t> H.Huth </t>
  </si>
  <si>
    <t> MVS 453 </t>
  </si>
  <si>
    <t>2427341.610 </t>
  </si>
  <si>
    <t> 26.09.1933 02:38 </t>
  </si>
  <si>
    <t> -0.039 </t>
  </si>
  <si>
    <t>2427416.383 </t>
  </si>
  <si>
    <t> 09.12.1933 21:11 </t>
  </si>
  <si>
    <t> -0.061 </t>
  </si>
  <si>
    <t>2427416.404 </t>
  </si>
  <si>
    <t> 09.12.1933 21:41 </t>
  </si>
  <si>
    <t> -0.040 </t>
  </si>
  <si>
    <t>2429910.584 </t>
  </si>
  <si>
    <t> 08.10.1940 02:00 </t>
  </si>
  <si>
    <t> 0.017 </t>
  </si>
  <si>
    <t>2429913.372 </t>
  </si>
  <si>
    <t> 10.10.1940 20:55 </t>
  </si>
  <si>
    <t> -0.072 </t>
  </si>
  <si>
    <t> T.G.Nikulina </t>
  </si>
  <si>
    <t> AC 194.26 </t>
  </si>
  <si>
    <t>2430258.589 </t>
  </si>
  <si>
    <t> 21.09.1941 02:08 </t>
  </si>
  <si>
    <t> -0.062 </t>
  </si>
  <si>
    <t>2430612.559 </t>
  </si>
  <si>
    <t> 10.09.1942 01:24 </t>
  </si>
  <si>
    <t> 0.070 </t>
  </si>
  <si>
    <t>2430704.497 </t>
  </si>
  <si>
    <t> 10.12.1942 23:55 </t>
  </si>
  <si>
    <t> -0.047 </t>
  </si>
  <si>
    <t>2431061.277 </t>
  </si>
  <si>
    <t> 02.12.1943 18:38 </t>
  </si>
  <si>
    <t> 0.019 </t>
  </si>
  <si>
    <t>2432888.155 </t>
  </si>
  <si>
    <t> 02.12.1948 15:43 </t>
  </si>
  <si>
    <t> 0.175 </t>
  </si>
  <si>
    <t>2433181.442 </t>
  </si>
  <si>
    <t> 21.09.1949 22:36 </t>
  </si>
  <si>
    <t> 0.035 </t>
  </si>
  <si>
    <t>2433184.449 </t>
  </si>
  <si>
    <t> 24.09.1949 22:46 </t>
  </si>
  <si>
    <t> 0.166 </t>
  </si>
  <si>
    <t>2433184.495 </t>
  </si>
  <si>
    <t> 24.09.1949 23:52 </t>
  </si>
  <si>
    <t> 0.212 </t>
  </si>
  <si>
    <t>2433604.385 </t>
  </si>
  <si>
    <t> 18.11.1950 21:14 </t>
  </si>
  <si>
    <t> 0.099 </t>
  </si>
  <si>
    <t>2433630.228 </t>
  </si>
  <si>
    <t> 14.12.1950 17:28 </t>
  </si>
  <si>
    <t> 0.052 </t>
  </si>
  <si>
    <t>2433653.393 </t>
  </si>
  <si>
    <t> 06.01.1951 21:25 </t>
  </si>
  <si>
    <t> 0.203 </t>
  </si>
  <si>
    <t>2433926.564 </t>
  </si>
  <si>
    <t> 07.10.1951 01:32 </t>
  </si>
  <si>
    <t> 0.085 </t>
  </si>
  <si>
    <t>2434395.366 </t>
  </si>
  <si>
    <t> 17.01.1953 20:47 </t>
  </si>
  <si>
    <t> -0.020 </t>
  </si>
  <si>
    <t>2434628.535 </t>
  </si>
  <si>
    <t> 08.09.1953 00:50 </t>
  </si>
  <si>
    <t> 0.134 </t>
  </si>
  <si>
    <t>2434778.134 </t>
  </si>
  <si>
    <t> 04.02.1954 15:12 </t>
  </si>
  <si>
    <t> 0.143 </t>
  </si>
  <si>
    <t>2435100.194 </t>
  </si>
  <si>
    <t> 23.12.1954 16:39 </t>
  </si>
  <si>
    <t> 0.010 </t>
  </si>
  <si>
    <t>2435126.178 </t>
  </si>
  <si>
    <t> 18.01.1955 16:16 </t>
  </si>
  <si>
    <t> 0.103 </t>
  </si>
  <si>
    <t>2435370.557 </t>
  </si>
  <si>
    <t> 20.09.1955 01:22 </t>
  </si>
  <si>
    <t>2435419.444 </t>
  </si>
  <si>
    <t> 07.11.1955 22:39 </t>
  </si>
  <si>
    <t> -0.057 </t>
  </si>
  <si>
    <t>2435721.580 </t>
  </si>
  <si>
    <t> 05.09.1956 01:55 </t>
  </si>
  <si>
    <t> 0.022 </t>
  </si>
  <si>
    <t>2435868.328 </t>
  </si>
  <si>
    <t> 29.01.1957 19:52 </t>
  </si>
  <si>
    <t> 0.057 </t>
  </si>
  <si>
    <t>2435894.117 </t>
  </si>
  <si>
    <t> 24.02.1957 14:48 </t>
  </si>
  <si>
    <t> -0.044 </t>
  </si>
  <si>
    <t>2442726.391 </t>
  </si>
  <si>
    <t> 09.11.1975 21:23 </t>
  </si>
  <si>
    <t> 0.001 </t>
  </si>
  <si>
    <t>E </t>
  </si>
  <si>
    <t>?</t>
  </si>
  <si>
    <t> Kandpal&amp;Srivastava </t>
  </si>
  <si>
    <t> ASS 67.213 </t>
  </si>
  <si>
    <t>2442729.268 </t>
  </si>
  <si>
    <t> 12.11.1975 18:25 </t>
  </si>
  <si>
    <t>2447208.322 </t>
  </si>
  <si>
    <t> 16.02.1988 19:43 </t>
  </si>
  <si>
    <t> -0.010 </t>
  </si>
  <si>
    <t>V </t>
  </si>
  <si>
    <t> H.Peter </t>
  </si>
  <si>
    <t> BBS 87 </t>
  </si>
  <si>
    <t>2447536.301 </t>
  </si>
  <si>
    <t> 09.01.1989 19:13 </t>
  </si>
  <si>
    <t> BBS 91 </t>
  </si>
  <si>
    <t>2451923.2552 </t>
  </si>
  <si>
    <t> 13.01.2001 18:07 </t>
  </si>
  <si>
    <t> -0.0345 </t>
  </si>
  <si>
    <t>-I</t>
  </si>
  <si>
    <t> W.Kleikamp </t>
  </si>
  <si>
    <t>BAVM 152 </t>
  </si>
  <si>
    <t>2452279.9543 </t>
  </si>
  <si>
    <t> 05.01.2002 10:54 </t>
  </si>
  <si>
    <t>7776</t>
  </si>
  <si>
    <t> -0.0496 </t>
  </si>
  <si>
    <t> Nagai </t>
  </si>
  <si>
    <t>VSB 40 </t>
  </si>
  <si>
    <t>2454075.0912 </t>
  </si>
  <si>
    <t> 05.12.2006 14:11 </t>
  </si>
  <si>
    <t>8400</t>
  </si>
  <si>
    <t> 0.0090 </t>
  </si>
  <si>
    <t> K. Nagai et al. </t>
  </si>
  <si>
    <t>VSB 45 </t>
  </si>
  <si>
    <t>2455128.013 </t>
  </si>
  <si>
    <t> 23.10.2009 12:18 </t>
  </si>
  <si>
    <t>8766</t>
  </si>
  <si>
    <t> 0.048 </t>
  </si>
  <si>
    <t>C </t>
  </si>
  <si>
    <t> R.Diethelm </t>
  </si>
  <si>
    <t>IBVS 5920 </t>
  </si>
  <si>
    <t>2455855.8679 </t>
  </si>
  <si>
    <t> 21.10.2011 08:49 </t>
  </si>
  <si>
    <t>9019</t>
  </si>
  <si>
    <t> 0.0911 </t>
  </si>
  <si>
    <t>IBVS 6011 </t>
  </si>
  <si>
    <t>2456995.0959 </t>
  </si>
  <si>
    <t> 03.12.2014 14:18 </t>
  </si>
  <si>
    <t>9415</t>
  </si>
  <si>
    <t> 0.1348 </t>
  </si>
  <si>
    <t> K.Nagai </t>
  </si>
  <si>
    <t>VSB 59 </t>
  </si>
  <si>
    <t>BAD?</t>
  </si>
  <si>
    <t>VSB-64</t>
  </si>
  <si>
    <t>Ic</t>
  </si>
  <si>
    <t xml:space="preserve">Mag </t>
  </si>
  <si>
    <t>Next ToM-P</t>
  </si>
  <si>
    <t>Next ToM-S</t>
  </si>
  <si>
    <t>VSX</t>
  </si>
  <si>
    <t>EA/SD</t>
  </si>
  <si>
    <t>9.51-10.49</t>
  </si>
  <si>
    <t>VSX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</si>
</sst>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8" fillId="0" borderId="4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0" fillId="0" borderId="12" xfId="0" applyBorder="1" applyAlignment="1">
      <alignment horizontal="right"/>
    </xf>
    <xf numFmtId="0" fontId="14" fillId="0" borderId="13" xfId="0" applyFont="1" applyBorder="1" applyAlignment="1">
      <alignment horizontal="left"/>
    </xf>
    <xf numFmtId="0" fontId="0" fillId="3" borderId="14" xfId="0" applyFill="1" applyBorder="1" applyAlignment="1">
      <alignment horizontal="right" vertical="center"/>
    </xf>
    <xf numFmtId="0" fontId="14" fillId="3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22" fontId="24" fillId="0" borderId="17" xfId="0" applyNumberFormat="1" applyFont="1" applyBorder="1" applyAlignment="1">
      <alignment horizontal="right" vertical="center"/>
    </xf>
    <xf numFmtId="22" fontId="24" fillId="0" borderId="18" xfId="0" applyNumberFormat="1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Eri - O-C Diagr.</a:t>
            </a:r>
          </a:p>
        </c:rich>
      </c:tx>
      <c:layout>
        <c:manualLayout>
          <c:xMode val="edge"/>
          <c:yMode val="edge"/>
          <c:x val="0.3925932147370467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5204261001535"/>
          <c:y val="0.14723926380368099"/>
          <c:w val="0.8237048954063880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-2.7551999999559484E-2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97-4E83-ABF1-1072BFB3E2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-0.22244800000044052</c:v>
                </c:pt>
                <c:pt idx="1">
                  <c:v>-6.5103999997518258E-2</c:v>
                </c:pt>
                <c:pt idx="2">
                  <c:v>-6.6448000001400942E-2</c:v>
                </c:pt>
                <c:pt idx="3">
                  <c:v>-8.8375999999698251E-2</c:v>
                </c:pt>
                <c:pt idx="4">
                  <c:v>-6.7376000002695946E-2</c:v>
                </c:pt>
                <c:pt idx="6">
                  <c:v>-1.0551999999734107E-2</c:v>
                </c:pt>
                <c:pt idx="7">
                  <c:v>-9.9280000002181623E-2</c:v>
                </c:pt>
                <c:pt idx="8">
                  <c:v>-8.9640000001963926E-2</c:v>
                </c:pt>
                <c:pt idx="9">
                  <c:v>4.2816000001039356E-2</c:v>
                </c:pt>
                <c:pt idx="10">
                  <c:v>-7.4479999999311985E-2</c:v>
                </c:pt>
                <c:pt idx="11">
                  <c:v>-8.7520000015501864E-3</c:v>
                </c:pt>
                <c:pt idx="12">
                  <c:v>0.1469680000009248</c:v>
                </c:pt>
                <c:pt idx="13">
                  <c:v>7.7119999987189658E-3</c:v>
                </c:pt>
                <c:pt idx="14">
                  <c:v>0.13798400000086986</c:v>
                </c:pt>
                <c:pt idx="15">
                  <c:v>0.18398400000296533</c:v>
                </c:pt>
                <c:pt idx="16">
                  <c:v>7.169600000634091E-2</c:v>
                </c:pt>
                <c:pt idx="17">
                  <c:v>2.4144000002706889E-2</c:v>
                </c:pt>
                <c:pt idx="18">
                  <c:v>0.1753199999948265</c:v>
                </c:pt>
                <c:pt idx="19">
                  <c:v>5.7159999996656552E-2</c:v>
                </c:pt>
                <c:pt idx="20">
                  <c:v>-4.7503999994660262E-2</c:v>
                </c:pt>
                <c:pt idx="21">
                  <c:v>0.10652800000389107</c:v>
                </c:pt>
                <c:pt idx="22">
                  <c:v>0.11567199999262812</c:v>
                </c:pt>
                <c:pt idx="23">
                  <c:v>-1.7863999994006008E-2</c:v>
                </c:pt>
                <c:pt idx="24">
                  <c:v>7.5583999998343643E-2</c:v>
                </c:pt>
                <c:pt idx="25">
                  <c:v>-6.7296000001078937E-2</c:v>
                </c:pt>
                <c:pt idx="26">
                  <c:v>-8.4671999997226521E-2</c:v>
                </c:pt>
                <c:pt idx="27">
                  <c:v>-5.1119999989168718E-3</c:v>
                </c:pt>
                <c:pt idx="28">
                  <c:v>2.9759999997622799E-2</c:v>
                </c:pt>
                <c:pt idx="29">
                  <c:v>-7.1792000002460554E-2</c:v>
                </c:pt>
                <c:pt idx="30">
                  <c:v>-2.6791999996930826E-2</c:v>
                </c:pt>
                <c:pt idx="32">
                  <c:v>-3.8015999998606276E-2</c:v>
                </c:pt>
                <c:pt idx="33">
                  <c:v>-6.0080000039306469E-3</c:v>
                </c:pt>
                <c:pt idx="35">
                  <c:v>-7.7180000000225846E-2</c:v>
                </c:pt>
                <c:pt idx="36">
                  <c:v>-1.8551999994087964E-2</c:v>
                </c:pt>
                <c:pt idx="40">
                  <c:v>0.10722800000075949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97-4E83-ABF1-1072BFB3E2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4">
                  <c:v>-6.2008000000787433E-2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97-4E83-ABF1-1072BFB3E2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7">
                  <c:v>0</c:v>
                </c:pt>
                <c:pt idx="38">
                  <c:v>2.0799999998416752E-2</c:v>
                </c:pt>
                <c:pt idx="39">
                  <c:v>6.3515999994706362E-2</c:v>
                </c:pt>
                <c:pt idx="41">
                  <c:v>0.1243319999994128</c:v>
                </c:pt>
                <c:pt idx="42">
                  <c:v>0.12453200000163633</c:v>
                </c:pt>
                <c:pt idx="43">
                  <c:v>0.12523199999850476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97-4E83-ABF1-1072BFB3E2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97-4E83-ABF1-1072BFB3E2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97-4E83-ABF1-1072BFB3E2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4">
                    <c:v>8.0000000000000004E-4</c:v>
                  </c:pt>
                  <c:pt idx="35">
                    <c:v>0</c:v>
                  </c:pt>
                  <c:pt idx="36">
                    <c:v>0</c:v>
                  </c:pt>
                  <c:pt idx="38">
                    <c:v>3.0000000000000001E-3</c:v>
                  </c:pt>
                  <c:pt idx="39">
                    <c:v>5.0000000000000001E-4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31">
                  <c:v>-2.651999999943655E-2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97-4E83-ABF1-1072BFB3E2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4">
                  <c:v>-8.5573917162093616E-2</c:v>
                </c:pt>
                <c:pt idx="35">
                  <c:v>-7.3122568896586027E-2</c:v>
                </c:pt>
                <c:pt idx="36">
                  <c:v>-1.0464171173386548E-2</c:v>
                </c:pt>
                <c:pt idx="37">
                  <c:v>-1.3264881720866234E-3</c:v>
                </c:pt>
                <c:pt idx="38">
                  <c:v>2.6287389029643917E-2</c:v>
                </c:pt>
                <c:pt idx="39">
                  <c:v>5.1692156055236013E-2</c:v>
                </c:pt>
                <c:pt idx="40">
                  <c:v>9.1456139225727998E-2</c:v>
                </c:pt>
                <c:pt idx="41">
                  <c:v>0.12981432501140461</c:v>
                </c:pt>
                <c:pt idx="42">
                  <c:v>0.12981432501140461</c:v>
                </c:pt>
                <c:pt idx="43">
                  <c:v>0.12981432501140461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97-4E83-ABF1-1072BFB3E252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-10009</c:v>
                </c:pt>
                <c:pt idx="1">
                  <c:v>-9982</c:v>
                </c:pt>
                <c:pt idx="2">
                  <c:v>-9384</c:v>
                </c:pt>
                <c:pt idx="3">
                  <c:v>-9358</c:v>
                </c:pt>
                <c:pt idx="4">
                  <c:v>-9358</c:v>
                </c:pt>
                <c:pt idx="5">
                  <c:v>-8491</c:v>
                </c:pt>
                <c:pt idx="6">
                  <c:v>-8491</c:v>
                </c:pt>
                <c:pt idx="7">
                  <c:v>-8490</c:v>
                </c:pt>
                <c:pt idx="8">
                  <c:v>-8370</c:v>
                </c:pt>
                <c:pt idx="9">
                  <c:v>-8247</c:v>
                </c:pt>
                <c:pt idx="10">
                  <c:v>-8215</c:v>
                </c:pt>
                <c:pt idx="11">
                  <c:v>-8091</c:v>
                </c:pt>
                <c:pt idx="12">
                  <c:v>-7456</c:v>
                </c:pt>
                <c:pt idx="13">
                  <c:v>-7354</c:v>
                </c:pt>
                <c:pt idx="14">
                  <c:v>-7353</c:v>
                </c:pt>
                <c:pt idx="15">
                  <c:v>-7353</c:v>
                </c:pt>
                <c:pt idx="16">
                  <c:v>-7207</c:v>
                </c:pt>
                <c:pt idx="17">
                  <c:v>-7198</c:v>
                </c:pt>
                <c:pt idx="18">
                  <c:v>-7190</c:v>
                </c:pt>
                <c:pt idx="19">
                  <c:v>-7095</c:v>
                </c:pt>
                <c:pt idx="20">
                  <c:v>-6932</c:v>
                </c:pt>
                <c:pt idx="21">
                  <c:v>-6851</c:v>
                </c:pt>
                <c:pt idx="22">
                  <c:v>-6799</c:v>
                </c:pt>
                <c:pt idx="23">
                  <c:v>-6687</c:v>
                </c:pt>
                <c:pt idx="24">
                  <c:v>-6678</c:v>
                </c:pt>
                <c:pt idx="25">
                  <c:v>-6593</c:v>
                </c:pt>
                <c:pt idx="26">
                  <c:v>-6576</c:v>
                </c:pt>
                <c:pt idx="27">
                  <c:v>-6471</c:v>
                </c:pt>
                <c:pt idx="28">
                  <c:v>-6420</c:v>
                </c:pt>
                <c:pt idx="29">
                  <c:v>-6411</c:v>
                </c:pt>
                <c:pt idx="30">
                  <c:v>-4036</c:v>
                </c:pt>
                <c:pt idx="31">
                  <c:v>-4035</c:v>
                </c:pt>
                <c:pt idx="32">
                  <c:v>-2478</c:v>
                </c:pt>
                <c:pt idx="33">
                  <c:v>-2364</c:v>
                </c:pt>
                <c:pt idx="34">
                  <c:v>-839</c:v>
                </c:pt>
                <c:pt idx="35">
                  <c:v>-715</c:v>
                </c:pt>
                <c:pt idx="36">
                  <c:v>-91</c:v>
                </c:pt>
                <c:pt idx="37">
                  <c:v>0</c:v>
                </c:pt>
                <c:pt idx="38">
                  <c:v>275</c:v>
                </c:pt>
                <c:pt idx="39">
                  <c:v>528</c:v>
                </c:pt>
                <c:pt idx="40">
                  <c:v>924</c:v>
                </c:pt>
                <c:pt idx="41">
                  <c:v>1306</c:v>
                </c:pt>
                <c:pt idx="42">
                  <c:v>1306</c:v>
                </c:pt>
                <c:pt idx="43">
                  <c:v>1306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97-4E83-ABF1-1072BFB3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75248"/>
        <c:axId val="1"/>
      </c:scatterChart>
      <c:valAx>
        <c:axId val="55767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267036064936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7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14845922037521"/>
          <c:y val="0.92024539877300615"/>
          <c:w val="0.7259270146787206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219075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DA58118-DAAD-202C-43AB-62379A619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5.pdf" TargetMode="External"/><Relationship Id="rId2" Type="http://schemas.openxmlformats.org/officeDocument/2006/relationships/hyperlink" Target="http://vsolj.cetus-net.org/no40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konkoly.hu/cgi-bin/IBVS?5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97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5.140625" style="14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s="56" t="s">
        <v>216</v>
      </c>
      <c r="E2" t="s">
        <v>46</v>
      </c>
    </row>
    <row r="3" spans="1:6" ht="13.5" thickBot="1" x14ac:dyDescent="0.25">
      <c r="E3" t="s">
        <v>47</v>
      </c>
    </row>
    <row r="4" spans="1:6" ht="14.25" thickTop="1" thickBot="1" x14ac:dyDescent="0.25">
      <c r="A4" s="5" t="s">
        <v>0</v>
      </c>
      <c r="C4" s="2">
        <v>29910.566999999999</v>
      </c>
      <c r="D4" s="3">
        <v>2.876728</v>
      </c>
    </row>
    <row r="5" spans="1:6" ht="13.5" thickTop="1" x14ac:dyDescent="0.2">
      <c r="A5" s="10" t="s">
        <v>39</v>
      </c>
      <c r="B5" s="47"/>
      <c r="C5" s="12">
        <v>-9.5</v>
      </c>
      <c r="D5" s="11" t="s">
        <v>40</v>
      </c>
    </row>
    <row r="6" spans="1:6" x14ac:dyDescent="0.2">
      <c r="A6" s="5" t="s">
        <v>1</v>
      </c>
    </row>
    <row r="7" spans="1:6" x14ac:dyDescent="0.2">
      <c r="A7" t="s">
        <v>2</v>
      </c>
      <c r="C7">
        <v>54336.892</v>
      </c>
      <c r="D7" s="16" t="s">
        <v>215</v>
      </c>
    </row>
    <row r="8" spans="1:6" x14ac:dyDescent="0.2">
      <c r="A8" t="s">
        <v>3</v>
      </c>
      <c r="C8">
        <v>2.876728</v>
      </c>
      <c r="D8" s="16" t="s">
        <v>12</v>
      </c>
      <c r="E8" s="57">
        <v>2.8768449999999999</v>
      </c>
      <c r="F8" s="58" t="s">
        <v>218</v>
      </c>
    </row>
    <row r="9" spans="1:6" x14ac:dyDescent="0.2">
      <c r="A9" s="25" t="s">
        <v>43</v>
      </c>
      <c r="B9" s="48">
        <v>57</v>
      </c>
      <c r="C9" s="15" t="str">
        <f>"F"&amp;B9</f>
        <v>F57</v>
      </c>
      <c r="D9" s="16" t="str">
        <f>"G"&amp;B9</f>
        <v>G57</v>
      </c>
    </row>
    <row r="10" spans="1:6" ht="13.5" thickBot="1" x14ac:dyDescent="0.25">
      <c r="A10" s="11"/>
      <c r="B10" s="47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47"/>
      <c r="C11" s="13">
        <f ca="1">INTERCEPT(INDIRECT($D$9):G992,INDIRECT($C$9):F992)</f>
        <v>-1.3264881720866234E-3</v>
      </c>
      <c r="D11" s="14"/>
      <c r="E11" s="11"/>
    </row>
    <row r="12" spans="1:6" x14ac:dyDescent="0.2">
      <c r="A12" s="11" t="s">
        <v>17</v>
      </c>
      <c r="B12" s="47"/>
      <c r="C12" s="13">
        <f ca="1">SLOPE(INDIRECT($D$9):G992,INDIRECT($C$9):F992)</f>
        <v>1.0041409891538378E-4</v>
      </c>
      <c r="D12" s="14"/>
      <c r="E12" s="59" t="s">
        <v>212</v>
      </c>
      <c r="F12" s="60" t="s">
        <v>217</v>
      </c>
    </row>
    <row r="13" spans="1:6" x14ac:dyDescent="0.2">
      <c r="A13" s="11" t="s">
        <v>19</v>
      </c>
      <c r="B13" s="47"/>
      <c r="C13" s="14" t="s">
        <v>14</v>
      </c>
      <c r="E13" s="61" t="s">
        <v>48</v>
      </c>
      <c r="F13" s="62">
        <v>1</v>
      </c>
    </row>
    <row r="14" spans="1:6" x14ac:dyDescent="0.2">
      <c r="A14" s="11"/>
      <c r="B14" s="47"/>
      <c r="C14" s="11"/>
      <c r="E14" s="61" t="s">
        <v>41</v>
      </c>
      <c r="F14" s="63">
        <f ca="1">NOW()+15018.5+$C$5/24</f>
        <v>60520.857240277772</v>
      </c>
    </row>
    <row r="15" spans="1:6" x14ac:dyDescent="0.2">
      <c r="A15" s="17" t="s">
        <v>18</v>
      </c>
      <c r="B15" s="47"/>
      <c r="C15" s="18">
        <f ca="1">(C7+C11)+(C8+C12)*INT(MAX(F21:F3533))</f>
        <v>58094.028582325016</v>
      </c>
      <c r="E15" s="61" t="s">
        <v>49</v>
      </c>
      <c r="F15" s="63">
        <f ca="1">ROUND(2*($F$14-$C$7)/$C$8,0)/2+$F$13</f>
        <v>2150.5</v>
      </c>
    </row>
    <row r="16" spans="1:6" x14ac:dyDescent="0.2">
      <c r="A16" s="20" t="s">
        <v>4</v>
      </c>
      <c r="B16" s="47"/>
      <c r="C16" s="21">
        <f ca="1">+C8+C12</f>
        <v>2.8768284140989153</v>
      </c>
      <c r="E16" s="61" t="s">
        <v>42</v>
      </c>
      <c r="F16" s="63">
        <f ca="1">ROUND(2*($F$14-$C$15)/$C$16,0)/2+$F$13</f>
        <v>844.5</v>
      </c>
    </row>
    <row r="17" spans="1:21" ht="13.5" thickBot="1" x14ac:dyDescent="0.25">
      <c r="A17" s="19" t="s">
        <v>37</v>
      </c>
      <c r="B17" s="47"/>
      <c r="C17" s="11">
        <f>COUNT(C21:C2191)</f>
        <v>44</v>
      </c>
      <c r="E17" s="61" t="s">
        <v>213</v>
      </c>
      <c r="F17" s="64">
        <f ca="1">+$C$15+$C$16*$F$16-15018.5-$C$5/24</f>
        <v>45505.406011364888</v>
      </c>
    </row>
    <row r="18" spans="1:21" ht="14.25" thickTop="1" thickBot="1" x14ac:dyDescent="0.25">
      <c r="A18" s="20" t="s">
        <v>5</v>
      </c>
      <c r="B18" s="47"/>
      <c r="C18" s="23">
        <f ca="1">+C15</f>
        <v>58094.028582325016</v>
      </c>
      <c r="D18" s="24">
        <f ca="1">+C16</f>
        <v>2.8768284140989153</v>
      </c>
      <c r="E18" s="66" t="s">
        <v>214</v>
      </c>
      <c r="F18" s="65">
        <f ca="1">+($C$15+$C$16*$F$16)-($C$16/2)-15018.5-$C$5/24</f>
        <v>45503.96759715784</v>
      </c>
      <c r="S18">
        <f>SUM(S21:S34)</f>
        <v>0.11760616140941438</v>
      </c>
    </row>
    <row r="19" spans="1:21" ht="13.5" thickTop="1" x14ac:dyDescent="0.2">
      <c r="E19" s="19"/>
      <c r="F19" s="22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4" t="s">
        <v>209</v>
      </c>
    </row>
    <row r="21" spans="1:21" x14ac:dyDescent="0.2">
      <c r="A21" s="42" t="s">
        <v>67</v>
      </c>
      <c r="B21" s="49" t="s">
        <v>45</v>
      </c>
      <c r="C21" s="43">
        <v>25543.499</v>
      </c>
      <c r="D21" s="43" t="s">
        <v>61</v>
      </c>
      <c r="E21" s="26">
        <f t="shared" ref="E21:E64" si="0">+(C21-C$7)/C$8</f>
        <v>-10009.077326740658</v>
      </c>
      <c r="F21" s="26">
        <f t="shared" ref="F21:F64" si="1">ROUND(2*E21,0)/2</f>
        <v>-10009</v>
      </c>
      <c r="G21" s="26">
        <f t="shared" ref="G21:G64" si="2">+C21-(C$7+F21*C$8)</f>
        <v>-0.22244800000044052</v>
      </c>
      <c r="H21" s="26"/>
      <c r="I21" s="26">
        <f>+G21</f>
        <v>-0.22244800000044052</v>
      </c>
      <c r="J21" s="26"/>
      <c r="K21" s="26"/>
      <c r="L21" s="26"/>
      <c r="M21" s="26"/>
      <c r="N21" s="26"/>
      <c r="O21" s="26"/>
      <c r="P21" s="26"/>
      <c r="Q21" s="28">
        <f t="shared" ref="Q21:Q64" si="3">+C21-15018.5</f>
        <v>10524.999</v>
      </c>
      <c r="S21" s="26">
        <f>+(G21-O21)^2</f>
        <v>4.9483112704195982E-2</v>
      </c>
    </row>
    <row r="22" spans="1:21" x14ac:dyDescent="0.2">
      <c r="A22" s="42" t="s">
        <v>72</v>
      </c>
      <c r="B22" s="49" t="s">
        <v>45</v>
      </c>
      <c r="C22" s="43">
        <v>25621.328000000001</v>
      </c>
      <c r="D22" s="43" t="s">
        <v>61</v>
      </c>
      <c r="E22" s="26">
        <f t="shared" si="0"/>
        <v>-9982.0226312671894</v>
      </c>
      <c r="F22" s="26">
        <f t="shared" si="1"/>
        <v>-9982</v>
      </c>
      <c r="G22" s="26">
        <f t="shared" si="2"/>
        <v>-6.5103999997518258E-2</v>
      </c>
      <c r="H22" s="26"/>
      <c r="I22" s="26">
        <f>+G22</f>
        <v>-6.5103999997518258E-2</v>
      </c>
      <c r="J22" s="26"/>
      <c r="K22" s="26"/>
      <c r="L22" s="26"/>
      <c r="M22" s="26"/>
      <c r="N22" s="26"/>
      <c r="O22" s="26"/>
      <c r="P22" s="26"/>
      <c r="Q22" s="28">
        <f t="shared" si="3"/>
        <v>10602.828000000001</v>
      </c>
      <c r="S22" s="26">
        <f>+(G22-O22)^2</f>
        <v>4.2385308156768576E-3</v>
      </c>
    </row>
    <row r="23" spans="1:21" x14ac:dyDescent="0.2">
      <c r="A23" s="42" t="s">
        <v>72</v>
      </c>
      <c r="B23" s="49" t="s">
        <v>45</v>
      </c>
      <c r="C23" s="43">
        <v>27341.61</v>
      </c>
      <c r="D23" s="43" t="s">
        <v>61</v>
      </c>
      <c r="E23" s="26">
        <f t="shared" si="0"/>
        <v>-9384.0230984646441</v>
      </c>
      <c r="F23" s="26">
        <f t="shared" si="1"/>
        <v>-9384</v>
      </c>
      <c r="G23" s="26">
        <f t="shared" si="2"/>
        <v>-6.6448000001400942E-2</v>
      </c>
      <c r="H23" s="26"/>
      <c r="I23" s="26">
        <f>+G23</f>
        <v>-6.6448000001400942E-2</v>
      </c>
      <c r="J23" s="26"/>
      <c r="K23" s="26"/>
      <c r="L23" s="26"/>
      <c r="M23" s="26"/>
      <c r="N23" s="26"/>
      <c r="O23" s="26"/>
      <c r="P23" s="26"/>
      <c r="Q23" s="28">
        <f t="shared" si="3"/>
        <v>12323.11</v>
      </c>
      <c r="S23" s="26">
        <f>+(G23-O23)^2</f>
        <v>4.4153367041861796E-3</v>
      </c>
    </row>
    <row r="24" spans="1:21" x14ac:dyDescent="0.2">
      <c r="A24" s="42" t="s">
        <v>67</v>
      </c>
      <c r="B24" s="49" t="s">
        <v>45</v>
      </c>
      <c r="C24" s="43">
        <v>27416.383000000002</v>
      </c>
      <c r="D24" s="43" t="s">
        <v>61</v>
      </c>
      <c r="E24" s="26">
        <f t="shared" si="0"/>
        <v>-9358.0307210135961</v>
      </c>
      <c r="F24" s="26">
        <f t="shared" si="1"/>
        <v>-9358</v>
      </c>
      <c r="G24" s="26">
        <f t="shared" si="2"/>
        <v>-8.8375999999698251E-2</v>
      </c>
      <c r="H24" s="26"/>
      <c r="I24" s="26">
        <f>+G24</f>
        <v>-8.8375999999698251E-2</v>
      </c>
      <c r="J24" s="26"/>
      <c r="K24" s="26"/>
      <c r="L24" s="26"/>
      <c r="M24" s="26"/>
      <c r="N24" s="26"/>
      <c r="O24" s="26"/>
      <c r="P24" s="26"/>
      <c r="Q24" s="28">
        <f t="shared" si="3"/>
        <v>12397.883000000002</v>
      </c>
      <c r="S24" s="26">
        <f>+(G24-O24)^2</f>
        <v>7.8103173759466651E-3</v>
      </c>
    </row>
    <row r="25" spans="1:21" x14ac:dyDescent="0.2">
      <c r="A25" s="42" t="s">
        <v>67</v>
      </c>
      <c r="B25" s="49" t="s">
        <v>45</v>
      </c>
      <c r="C25" s="43">
        <v>27416.403999999999</v>
      </c>
      <c r="D25" s="43" t="s">
        <v>61</v>
      </c>
      <c r="E25" s="26">
        <f t="shared" si="0"/>
        <v>-9358.0234210533636</v>
      </c>
      <c r="F25" s="26">
        <f t="shared" si="1"/>
        <v>-9358</v>
      </c>
      <c r="G25" s="26">
        <f t="shared" si="2"/>
        <v>-6.7376000002695946E-2</v>
      </c>
      <c r="H25" s="26"/>
      <c r="I25" s="26">
        <f>+G25</f>
        <v>-6.7376000002695946E-2</v>
      </c>
      <c r="J25" s="26"/>
      <c r="K25" s="26"/>
      <c r="L25" s="26"/>
      <c r="M25" s="26"/>
      <c r="N25" s="26"/>
      <c r="O25" s="26"/>
      <c r="P25" s="26"/>
      <c r="Q25" s="28">
        <f t="shared" si="3"/>
        <v>12397.903999999999</v>
      </c>
      <c r="S25" s="26">
        <f>+(G25-O25)^2</f>
        <v>4.5395253763632843E-3</v>
      </c>
    </row>
    <row r="26" spans="1:21" x14ac:dyDescent="0.2">
      <c r="A26" s="26" t="s">
        <v>12</v>
      </c>
      <c r="B26" s="50"/>
      <c r="C26" s="27">
        <v>29910.566999999999</v>
      </c>
      <c r="D26" s="27" t="s">
        <v>14</v>
      </c>
      <c r="E26" s="26">
        <f t="shared" si="0"/>
        <v>-8491.0095775478258</v>
      </c>
      <c r="F26" s="26">
        <f t="shared" si="1"/>
        <v>-8491</v>
      </c>
      <c r="G26" s="26">
        <f t="shared" si="2"/>
        <v>-2.7551999999559484E-2</v>
      </c>
      <c r="H26" s="26">
        <f>+G26</f>
        <v>-2.7551999999559484E-2</v>
      </c>
      <c r="I26" s="26"/>
      <c r="J26" s="26"/>
      <c r="K26" s="26"/>
      <c r="L26" s="26"/>
      <c r="M26" s="26"/>
      <c r="N26" s="26"/>
      <c r="O26" s="26"/>
      <c r="P26" s="26"/>
      <c r="Q26" s="28">
        <f t="shared" si="3"/>
        <v>14892.066999999999</v>
      </c>
      <c r="S26" s="26"/>
    </row>
    <row r="27" spans="1:21" x14ac:dyDescent="0.2">
      <c r="A27" s="42" t="s">
        <v>72</v>
      </c>
      <c r="B27" s="49" t="s">
        <v>45</v>
      </c>
      <c r="C27" s="43">
        <v>29910.583999999999</v>
      </c>
      <c r="D27" s="43" t="s">
        <v>61</v>
      </c>
      <c r="E27" s="26">
        <f t="shared" si="0"/>
        <v>-8491.003668056208</v>
      </c>
      <c r="F27" s="26">
        <f t="shared" si="1"/>
        <v>-8491</v>
      </c>
      <c r="G27" s="26">
        <f t="shared" si="2"/>
        <v>-1.0551999999734107E-2</v>
      </c>
      <c r="H27" s="26"/>
      <c r="I27" s="26">
        <f t="shared" ref="I27:I51" si="4">+G27</f>
        <v>-1.0551999999734107E-2</v>
      </c>
      <c r="J27" s="26"/>
      <c r="K27" s="26"/>
      <c r="L27" s="26"/>
      <c r="M27" s="26"/>
      <c r="N27" s="26"/>
      <c r="O27" s="26"/>
      <c r="P27" s="26"/>
      <c r="Q27" s="28">
        <f t="shared" si="3"/>
        <v>14892.083999999999</v>
      </c>
      <c r="S27" s="26">
        <f t="shared" ref="S27:S64" si="5">+(G27-O27)^2</f>
        <v>1.1134470399438861E-4</v>
      </c>
    </row>
    <row r="28" spans="1:21" x14ac:dyDescent="0.2">
      <c r="A28" s="42" t="s">
        <v>89</v>
      </c>
      <c r="B28" s="49" t="s">
        <v>45</v>
      </c>
      <c r="C28" s="43">
        <v>29913.371999999999</v>
      </c>
      <c r="D28" s="43" t="s">
        <v>61</v>
      </c>
      <c r="E28" s="26">
        <f t="shared" si="0"/>
        <v>-8490.0345114310421</v>
      </c>
      <c r="F28" s="26">
        <f t="shared" si="1"/>
        <v>-8490</v>
      </c>
      <c r="G28" s="26">
        <f t="shared" si="2"/>
        <v>-9.9280000002181623E-2</v>
      </c>
      <c r="H28" s="26"/>
      <c r="I28" s="26">
        <f t="shared" si="4"/>
        <v>-9.9280000002181623E-2</v>
      </c>
      <c r="J28" s="26"/>
      <c r="K28" s="26"/>
      <c r="L28" s="26"/>
      <c r="M28" s="26"/>
      <c r="N28" s="26"/>
      <c r="O28" s="26"/>
      <c r="P28" s="26"/>
      <c r="Q28" s="28">
        <f t="shared" si="3"/>
        <v>14894.871999999999</v>
      </c>
      <c r="S28" s="26">
        <f t="shared" si="5"/>
        <v>9.856518400433183E-3</v>
      </c>
    </row>
    <row r="29" spans="1:21" x14ac:dyDescent="0.2">
      <c r="A29" s="42" t="s">
        <v>72</v>
      </c>
      <c r="B29" s="49" t="s">
        <v>45</v>
      </c>
      <c r="C29" s="43">
        <v>30258.589</v>
      </c>
      <c r="D29" s="43" t="s">
        <v>61</v>
      </c>
      <c r="E29" s="26">
        <f t="shared" si="0"/>
        <v>-8370.0311604016788</v>
      </c>
      <c r="F29" s="26">
        <f t="shared" si="1"/>
        <v>-8370</v>
      </c>
      <c r="G29" s="26">
        <f t="shared" si="2"/>
        <v>-8.9640000001963926E-2</v>
      </c>
      <c r="H29" s="26"/>
      <c r="I29" s="26">
        <f t="shared" si="4"/>
        <v>-8.9640000001963926E-2</v>
      </c>
      <c r="J29" s="26"/>
      <c r="K29" s="26"/>
      <c r="L29" s="26"/>
      <c r="M29" s="26"/>
      <c r="N29" s="26"/>
      <c r="O29" s="26"/>
      <c r="P29" s="26"/>
      <c r="Q29" s="28">
        <f t="shared" si="3"/>
        <v>15240.089</v>
      </c>
      <c r="S29" s="26">
        <f t="shared" si="5"/>
        <v>8.0353296003520935E-3</v>
      </c>
    </row>
    <row r="30" spans="1:21" x14ac:dyDescent="0.2">
      <c r="A30" s="42" t="s">
        <v>72</v>
      </c>
      <c r="B30" s="49" t="s">
        <v>45</v>
      </c>
      <c r="C30" s="43">
        <v>30612.559000000001</v>
      </c>
      <c r="D30" s="43" t="s">
        <v>61</v>
      </c>
      <c r="E30" s="26">
        <f t="shared" si="0"/>
        <v>-8246.9851164239371</v>
      </c>
      <c r="F30" s="26">
        <f t="shared" si="1"/>
        <v>-8247</v>
      </c>
      <c r="G30" s="26">
        <f t="shared" si="2"/>
        <v>4.2816000001039356E-2</v>
      </c>
      <c r="H30" s="26"/>
      <c r="I30" s="26">
        <f t="shared" si="4"/>
        <v>4.2816000001039356E-2</v>
      </c>
      <c r="J30" s="26"/>
      <c r="K30" s="26"/>
      <c r="L30" s="26"/>
      <c r="M30" s="26"/>
      <c r="N30" s="26"/>
      <c r="O30" s="26"/>
      <c r="P30" s="26"/>
      <c r="Q30" s="28">
        <f t="shared" si="3"/>
        <v>15594.059000000001</v>
      </c>
      <c r="S30" s="26">
        <f t="shared" si="5"/>
        <v>1.8332098560890021E-3</v>
      </c>
    </row>
    <row r="31" spans="1:21" x14ac:dyDescent="0.2">
      <c r="A31" s="42" t="s">
        <v>72</v>
      </c>
      <c r="B31" s="49" t="s">
        <v>45</v>
      </c>
      <c r="C31" s="43">
        <v>30704.496999999999</v>
      </c>
      <c r="D31" s="43" t="s">
        <v>61</v>
      </c>
      <c r="E31" s="26">
        <f t="shared" si="0"/>
        <v>-8215.0258905256251</v>
      </c>
      <c r="F31" s="26">
        <f t="shared" si="1"/>
        <v>-8215</v>
      </c>
      <c r="G31" s="26">
        <f t="shared" si="2"/>
        <v>-7.4479999999311985E-2</v>
      </c>
      <c r="H31" s="26"/>
      <c r="I31" s="26">
        <f t="shared" si="4"/>
        <v>-7.4479999999311985E-2</v>
      </c>
      <c r="J31" s="26"/>
      <c r="K31" s="26"/>
      <c r="L31" s="26"/>
      <c r="M31" s="26"/>
      <c r="N31" s="26"/>
      <c r="O31" s="26"/>
      <c r="P31" s="26"/>
      <c r="Q31" s="28">
        <f t="shared" si="3"/>
        <v>15685.996999999999</v>
      </c>
      <c r="S31" s="26">
        <f t="shared" si="5"/>
        <v>5.5472703998975135E-3</v>
      </c>
    </row>
    <row r="32" spans="1:21" x14ac:dyDescent="0.2">
      <c r="A32" s="42" t="s">
        <v>89</v>
      </c>
      <c r="B32" s="49" t="s">
        <v>45</v>
      </c>
      <c r="C32" s="43">
        <v>31061.276999999998</v>
      </c>
      <c r="D32" s="43" t="s">
        <v>61</v>
      </c>
      <c r="E32" s="26">
        <f t="shared" si="0"/>
        <v>-8091.0030423453318</v>
      </c>
      <c r="F32" s="26">
        <f t="shared" si="1"/>
        <v>-8091</v>
      </c>
      <c r="G32" s="26">
        <f t="shared" si="2"/>
        <v>-8.7520000015501864E-3</v>
      </c>
      <c r="H32" s="26"/>
      <c r="I32" s="26">
        <f t="shared" si="4"/>
        <v>-8.7520000015501864E-3</v>
      </c>
      <c r="J32" s="26"/>
      <c r="K32" s="26"/>
      <c r="L32" s="26"/>
      <c r="M32" s="26"/>
      <c r="N32" s="26"/>
      <c r="O32" s="26"/>
      <c r="P32" s="26"/>
      <c r="Q32" s="28">
        <f t="shared" si="3"/>
        <v>16042.776999999998</v>
      </c>
      <c r="S32" s="26">
        <f t="shared" si="5"/>
        <v>7.6597504027134467E-5</v>
      </c>
    </row>
    <row r="33" spans="1:19" x14ac:dyDescent="0.2">
      <c r="A33" s="42" t="s">
        <v>89</v>
      </c>
      <c r="B33" s="49" t="s">
        <v>45</v>
      </c>
      <c r="C33" s="43">
        <v>32888.154999999999</v>
      </c>
      <c r="D33" s="43" t="s">
        <v>61</v>
      </c>
      <c r="E33" s="26">
        <f t="shared" si="0"/>
        <v>-7455.9489114021208</v>
      </c>
      <c r="F33" s="26">
        <f t="shared" si="1"/>
        <v>-7456</v>
      </c>
      <c r="G33" s="26">
        <f t="shared" si="2"/>
        <v>0.1469680000009248</v>
      </c>
      <c r="H33" s="26"/>
      <c r="I33" s="26">
        <f t="shared" si="4"/>
        <v>0.1469680000009248</v>
      </c>
      <c r="J33" s="26"/>
      <c r="K33" s="26"/>
      <c r="L33" s="26"/>
      <c r="M33" s="26"/>
      <c r="N33" s="26"/>
      <c r="O33" s="26"/>
      <c r="P33" s="26"/>
      <c r="Q33" s="28">
        <f t="shared" si="3"/>
        <v>17869.654999999999</v>
      </c>
      <c r="S33" s="26">
        <f t="shared" si="5"/>
        <v>2.1599593024271831E-2</v>
      </c>
    </row>
    <row r="34" spans="1:19" x14ac:dyDescent="0.2">
      <c r="A34" s="42" t="s">
        <v>89</v>
      </c>
      <c r="B34" s="49" t="s">
        <v>45</v>
      </c>
      <c r="C34" s="43">
        <v>33181.442000000003</v>
      </c>
      <c r="D34" s="43" t="s">
        <v>61</v>
      </c>
      <c r="E34" s="26">
        <f t="shared" si="0"/>
        <v>-7353.9973191765084</v>
      </c>
      <c r="F34" s="26">
        <f t="shared" si="1"/>
        <v>-7354</v>
      </c>
      <c r="G34" s="26">
        <f t="shared" si="2"/>
        <v>7.7119999987189658E-3</v>
      </c>
      <c r="H34" s="26"/>
      <c r="I34" s="26">
        <f t="shared" si="4"/>
        <v>7.7119999987189658E-3</v>
      </c>
      <c r="J34" s="26"/>
      <c r="K34" s="26"/>
      <c r="L34" s="26"/>
      <c r="M34" s="26"/>
      <c r="N34" s="26"/>
      <c r="O34" s="26"/>
      <c r="P34" s="26"/>
      <c r="Q34" s="28">
        <f t="shared" si="3"/>
        <v>18162.942000000003</v>
      </c>
      <c r="S34" s="26">
        <f t="shared" si="5"/>
        <v>5.9474943980241326E-5</v>
      </c>
    </row>
    <row r="35" spans="1:19" x14ac:dyDescent="0.2">
      <c r="A35" s="42" t="s">
        <v>89</v>
      </c>
      <c r="B35" s="49" t="s">
        <v>45</v>
      </c>
      <c r="C35" s="43">
        <v>33184.449000000001</v>
      </c>
      <c r="D35" s="43" t="s">
        <v>61</v>
      </c>
      <c r="E35" s="26">
        <f t="shared" si="0"/>
        <v>-7352.9520343946315</v>
      </c>
      <c r="F35" s="26">
        <f t="shared" si="1"/>
        <v>-7353</v>
      </c>
      <c r="G35" s="26">
        <f t="shared" si="2"/>
        <v>0.13798400000086986</v>
      </c>
      <c r="H35" s="26"/>
      <c r="I35" s="26">
        <f t="shared" si="4"/>
        <v>0.13798400000086986</v>
      </c>
      <c r="J35" s="26"/>
      <c r="K35" s="26"/>
      <c r="L35" s="26"/>
      <c r="M35" s="26"/>
      <c r="N35" s="26"/>
      <c r="O35" s="26"/>
      <c r="P35" s="26"/>
      <c r="Q35" s="28">
        <f t="shared" si="3"/>
        <v>18165.949000000001</v>
      </c>
      <c r="S35" s="26">
        <f t="shared" si="5"/>
        <v>1.9039584256240052E-2</v>
      </c>
    </row>
    <row r="36" spans="1:19" x14ac:dyDescent="0.2">
      <c r="A36" s="42" t="s">
        <v>72</v>
      </c>
      <c r="B36" s="49" t="s">
        <v>45</v>
      </c>
      <c r="C36" s="43">
        <v>33184.495000000003</v>
      </c>
      <c r="D36" s="43" t="s">
        <v>61</v>
      </c>
      <c r="E36" s="26">
        <f t="shared" si="0"/>
        <v>-7352.9360440055498</v>
      </c>
      <c r="F36" s="26">
        <f t="shared" si="1"/>
        <v>-7353</v>
      </c>
      <c r="G36" s="26">
        <f t="shared" si="2"/>
        <v>0.18398400000296533</v>
      </c>
      <c r="H36" s="26"/>
      <c r="I36" s="26">
        <f t="shared" si="4"/>
        <v>0.18398400000296533</v>
      </c>
      <c r="J36" s="26"/>
      <c r="K36" s="26"/>
      <c r="L36" s="26"/>
      <c r="M36" s="26"/>
      <c r="N36" s="26"/>
      <c r="O36" s="26"/>
      <c r="P36" s="26"/>
      <c r="Q36" s="28">
        <f t="shared" si="3"/>
        <v>18165.995000000003</v>
      </c>
      <c r="S36" s="26">
        <f t="shared" si="5"/>
        <v>3.3850112257091149E-2</v>
      </c>
    </row>
    <row r="37" spans="1:19" x14ac:dyDescent="0.2">
      <c r="A37" s="42" t="s">
        <v>89</v>
      </c>
      <c r="B37" s="49" t="s">
        <v>45</v>
      </c>
      <c r="C37" s="43">
        <v>33604.385000000002</v>
      </c>
      <c r="D37" s="43" t="s">
        <v>61</v>
      </c>
      <c r="E37" s="26">
        <f t="shared" si="0"/>
        <v>-7206.9750772405314</v>
      </c>
      <c r="F37" s="26">
        <f t="shared" si="1"/>
        <v>-7207</v>
      </c>
      <c r="G37" s="26">
        <f t="shared" si="2"/>
        <v>7.169600000634091E-2</v>
      </c>
      <c r="H37" s="26"/>
      <c r="I37" s="26">
        <f t="shared" si="4"/>
        <v>7.169600000634091E-2</v>
      </c>
      <c r="J37" s="26"/>
      <c r="K37" s="26"/>
      <c r="L37" s="26"/>
      <c r="M37" s="26"/>
      <c r="N37" s="26"/>
      <c r="O37" s="26"/>
      <c r="P37" s="26"/>
      <c r="Q37" s="28">
        <f t="shared" si="3"/>
        <v>18585.885000000002</v>
      </c>
      <c r="S37" s="26">
        <f t="shared" si="5"/>
        <v>5.1403164169092361E-3</v>
      </c>
    </row>
    <row r="38" spans="1:19" x14ac:dyDescent="0.2">
      <c r="A38" s="42" t="s">
        <v>89</v>
      </c>
      <c r="B38" s="49" t="s">
        <v>45</v>
      </c>
      <c r="C38" s="43">
        <v>33630.228000000003</v>
      </c>
      <c r="D38" s="43" t="s">
        <v>61</v>
      </c>
      <c r="E38" s="26">
        <f t="shared" si="0"/>
        <v>-7197.9916071314346</v>
      </c>
      <c r="F38" s="26">
        <f t="shared" si="1"/>
        <v>-7198</v>
      </c>
      <c r="G38" s="26">
        <f t="shared" si="2"/>
        <v>2.4144000002706889E-2</v>
      </c>
      <c r="H38" s="26"/>
      <c r="I38" s="26">
        <f t="shared" si="4"/>
        <v>2.4144000002706889E-2</v>
      </c>
      <c r="J38" s="26"/>
      <c r="K38" s="26"/>
      <c r="L38" s="26"/>
      <c r="M38" s="26"/>
      <c r="N38" s="26"/>
      <c r="O38" s="26"/>
      <c r="P38" s="26"/>
      <c r="Q38" s="28">
        <f t="shared" si="3"/>
        <v>18611.728000000003</v>
      </c>
      <c r="S38" s="26">
        <f t="shared" si="5"/>
        <v>5.829327361307103E-4</v>
      </c>
    </row>
    <row r="39" spans="1:19" x14ac:dyDescent="0.2">
      <c r="A39" s="42" t="s">
        <v>72</v>
      </c>
      <c r="B39" s="49" t="s">
        <v>45</v>
      </c>
      <c r="C39" s="43">
        <v>33653.392999999996</v>
      </c>
      <c r="D39" s="43" t="s">
        <v>61</v>
      </c>
      <c r="E39" s="26">
        <f t="shared" si="0"/>
        <v>-7189.9390557605739</v>
      </c>
      <c r="F39" s="26">
        <f t="shared" si="1"/>
        <v>-7190</v>
      </c>
      <c r="G39" s="26">
        <f t="shared" si="2"/>
        <v>0.1753199999948265</v>
      </c>
      <c r="H39" s="26"/>
      <c r="I39" s="26">
        <f t="shared" si="4"/>
        <v>0.1753199999948265</v>
      </c>
      <c r="J39" s="26"/>
      <c r="K39" s="26"/>
      <c r="L39" s="26"/>
      <c r="M39" s="26"/>
      <c r="N39" s="26"/>
      <c r="O39" s="26"/>
      <c r="P39" s="26"/>
      <c r="Q39" s="28">
        <f t="shared" si="3"/>
        <v>18634.892999999996</v>
      </c>
      <c r="S39" s="26">
        <f t="shared" si="5"/>
        <v>3.0737102398185966E-2</v>
      </c>
    </row>
    <row r="40" spans="1:19" x14ac:dyDescent="0.2">
      <c r="A40" s="42" t="s">
        <v>72</v>
      </c>
      <c r="B40" s="49" t="s">
        <v>45</v>
      </c>
      <c r="C40" s="43">
        <v>33926.563999999998</v>
      </c>
      <c r="D40" s="43" t="s">
        <v>61</v>
      </c>
      <c r="E40" s="26">
        <f t="shared" si="0"/>
        <v>-7094.9801302034821</v>
      </c>
      <c r="F40" s="26">
        <f t="shared" si="1"/>
        <v>-7095</v>
      </c>
      <c r="G40" s="26">
        <f t="shared" si="2"/>
        <v>5.7159999996656552E-2</v>
      </c>
      <c r="H40" s="26"/>
      <c r="I40" s="26">
        <f t="shared" si="4"/>
        <v>5.7159999996656552E-2</v>
      </c>
      <c r="J40" s="26"/>
      <c r="K40" s="26"/>
      <c r="L40" s="26"/>
      <c r="M40" s="26"/>
      <c r="N40" s="26"/>
      <c r="O40" s="26"/>
      <c r="P40" s="26"/>
      <c r="Q40" s="28">
        <f t="shared" si="3"/>
        <v>18908.063999999998</v>
      </c>
      <c r="S40" s="26">
        <f t="shared" si="5"/>
        <v>3.267265599617777E-3</v>
      </c>
    </row>
    <row r="41" spans="1:19" x14ac:dyDescent="0.2">
      <c r="A41" s="42" t="s">
        <v>72</v>
      </c>
      <c r="B41" s="49" t="s">
        <v>45</v>
      </c>
      <c r="C41" s="43">
        <v>34395.366000000002</v>
      </c>
      <c r="D41" s="43" t="s">
        <v>61</v>
      </c>
      <c r="E41" s="26">
        <f t="shared" si="0"/>
        <v>-6932.0165132052798</v>
      </c>
      <c r="F41" s="26">
        <f t="shared" si="1"/>
        <v>-6932</v>
      </c>
      <c r="G41" s="26">
        <f t="shared" si="2"/>
        <v>-4.7503999994660262E-2</v>
      </c>
      <c r="H41" s="26"/>
      <c r="I41" s="26">
        <f t="shared" si="4"/>
        <v>-4.7503999994660262E-2</v>
      </c>
      <c r="J41" s="26"/>
      <c r="K41" s="26"/>
      <c r="L41" s="26"/>
      <c r="M41" s="26"/>
      <c r="N41" s="26"/>
      <c r="O41" s="26"/>
      <c r="P41" s="26"/>
      <c r="Q41" s="28">
        <f t="shared" si="3"/>
        <v>19376.866000000002</v>
      </c>
      <c r="S41" s="26">
        <f t="shared" si="5"/>
        <v>2.2566300154926821E-3</v>
      </c>
    </row>
    <row r="42" spans="1:19" x14ac:dyDescent="0.2">
      <c r="A42" s="42" t="s">
        <v>72</v>
      </c>
      <c r="B42" s="49" t="s">
        <v>45</v>
      </c>
      <c r="C42" s="43">
        <v>34628.535000000003</v>
      </c>
      <c r="D42" s="43" t="s">
        <v>61</v>
      </c>
      <c r="E42" s="26">
        <f t="shared" si="0"/>
        <v>-6850.9629690398242</v>
      </c>
      <c r="F42" s="26">
        <f t="shared" si="1"/>
        <v>-6851</v>
      </c>
      <c r="G42" s="26">
        <f t="shared" si="2"/>
        <v>0.10652800000389107</v>
      </c>
      <c r="H42" s="26"/>
      <c r="I42" s="26">
        <f t="shared" si="4"/>
        <v>0.10652800000389107</v>
      </c>
      <c r="J42" s="26"/>
      <c r="K42" s="26"/>
      <c r="L42" s="26"/>
      <c r="M42" s="26"/>
      <c r="N42" s="26"/>
      <c r="O42" s="26"/>
      <c r="P42" s="26"/>
      <c r="Q42" s="28">
        <f t="shared" si="3"/>
        <v>19610.035000000003</v>
      </c>
      <c r="S42" s="26">
        <f t="shared" si="5"/>
        <v>1.1348214784829015E-2</v>
      </c>
    </row>
    <row r="43" spans="1:19" x14ac:dyDescent="0.2">
      <c r="A43" s="42" t="s">
        <v>89</v>
      </c>
      <c r="B43" s="49" t="s">
        <v>45</v>
      </c>
      <c r="C43" s="43">
        <v>34778.133999999998</v>
      </c>
      <c r="D43" s="43" t="s">
        <v>61</v>
      </c>
      <c r="E43" s="26">
        <f t="shared" si="0"/>
        <v>-6798.9597904285711</v>
      </c>
      <c r="F43" s="26">
        <f t="shared" si="1"/>
        <v>-6799</v>
      </c>
      <c r="G43" s="26">
        <f t="shared" si="2"/>
        <v>0.11567199999262812</v>
      </c>
      <c r="H43" s="26"/>
      <c r="I43" s="26">
        <f t="shared" si="4"/>
        <v>0.11567199999262812</v>
      </c>
      <c r="J43" s="26"/>
      <c r="K43" s="26"/>
      <c r="L43" s="26"/>
      <c r="M43" s="26"/>
      <c r="N43" s="26"/>
      <c r="O43" s="26"/>
      <c r="P43" s="26"/>
      <c r="Q43" s="28">
        <f t="shared" si="3"/>
        <v>19759.633999999998</v>
      </c>
      <c r="S43" s="26">
        <f t="shared" si="5"/>
        <v>1.3380011582294559E-2</v>
      </c>
    </row>
    <row r="44" spans="1:19" x14ac:dyDescent="0.2">
      <c r="A44" s="42" t="s">
        <v>89</v>
      </c>
      <c r="B44" s="49" t="s">
        <v>45</v>
      </c>
      <c r="C44" s="43">
        <v>35100.194000000003</v>
      </c>
      <c r="D44" s="43" t="s">
        <v>61</v>
      </c>
      <c r="E44" s="26">
        <f t="shared" si="0"/>
        <v>-6687.0062098328372</v>
      </c>
      <c r="F44" s="26">
        <f t="shared" si="1"/>
        <v>-6687</v>
      </c>
      <c r="G44" s="26">
        <f t="shared" si="2"/>
        <v>-1.7863999994006008E-2</v>
      </c>
      <c r="H44" s="26"/>
      <c r="I44" s="26">
        <f t="shared" si="4"/>
        <v>-1.7863999994006008E-2</v>
      </c>
      <c r="J44" s="26"/>
      <c r="K44" s="26"/>
      <c r="L44" s="26"/>
      <c r="M44" s="26"/>
      <c r="N44" s="26"/>
      <c r="O44" s="26"/>
      <c r="P44" s="26"/>
      <c r="Q44" s="28">
        <f t="shared" si="3"/>
        <v>20081.694000000003</v>
      </c>
      <c r="S44" s="26">
        <f t="shared" si="5"/>
        <v>3.1912249578584665E-4</v>
      </c>
    </row>
    <row r="45" spans="1:19" x14ac:dyDescent="0.2">
      <c r="A45" s="42" t="s">
        <v>89</v>
      </c>
      <c r="B45" s="49" t="s">
        <v>45</v>
      </c>
      <c r="C45" s="43">
        <v>35126.178</v>
      </c>
      <c r="D45" s="43" t="s">
        <v>61</v>
      </c>
      <c r="E45" s="26">
        <f t="shared" si="0"/>
        <v>-6677.9737257050374</v>
      </c>
      <c r="F45" s="26">
        <f t="shared" si="1"/>
        <v>-6678</v>
      </c>
      <c r="G45" s="26">
        <f t="shared" si="2"/>
        <v>7.5583999998343643E-2</v>
      </c>
      <c r="H45" s="26"/>
      <c r="I45" s="26">
        <f t="shared" si="4"/>
        <v>7.5583999998343643E-2</v>
      </c>
      <c r="J45" s="26"/>
      <c r="K45" s="26"/>
      <c r="L45" s="26"/>
      <c r="M45" s="26"/>
      <c r="N45" s="26"/>
      <c r="O45" s="26"/>
      <c r="P45" s="26"/>
      <c r="Q45" s="28">
        <f t="shared" si="3"/>
        <v>20107.678</v>
      </c>
      <c r="S45" s="26">
        <f t="shared" si="5"/>
        <v>5.7129410557496116E-3</v>
      </c>
    </row>
    <row r="46" spans="1:19" x14ac:dyDescent="0.2">
      <c r="A46" s="42" t="s">
        <v>72</v>
      </c>
      <c r="B46" s="49" t="s">
        <v>45</v>
      </c>
      <c r="C46" s="43">
        <v>35370.557000000001</v>
      </c>
      <c r="D46" s="43" t="s">
        <v>61</v>
      </c>
      <c r="E46" s="26">
        <f t="shared" si="0"/>
        <v>-6593.0233932439905</v>
      </c>
      <c r="F46" s="26">
        <f t="shared" si="1"/>
        <v>-6593</v>
      </c>
      <c r="G46" s="26">
        <f t="shared" si="2"/>
        <v>-6.7296000001078937E-2</v>
      </c>
      <c r="H46" s="26"/>
      <c r="I46" s="26">
        <f t="shared" si="4"/>
        <v>-6.7296000001078937E-2</v>
      </c>
      <c r="J46" s="26"/>
      <c r="K46" s="26"/>
      <c r="L46" s="26"/>
      <c r="M46" s="26"/>
      <c r="N46" s="26"/>
      <c r="O46" s="26"/>
      <c r="P46" s="26"/>
      <c r="Q46" s="28">
        <f t="shared" si="3"/>
        <v>20352.057000000001</v>
      </c>
      <c r="S46" s="26">
        <f t="shared" si="5"/>
        <v>4.5287516161452166E-3</v>
      </c>
    </row>
    <row r="47" spans="1:19" x14ac:dyDescent="0.2">
      <c r="A47" s="42" t="s">
        <v>72</v>
      </c>
      <c r="B47" s="49" t="s">
        <v>45</v>
      </c>
      <c r="C47" s="43">
        <v>35419.444000000003</v>
      </c>
      <c r="D47" s="43" t="s">
        <v>61</v>
      </c>
      <c r="E47" s="26">
        <f t="shared" si="0"/>
        <v>-6576.0294334396567</v>
      </c>
      <c r="F47" s="26">
        <f t="shared" si="1"/>
        <v>-6576</v>
      </c>
      <c r="G47" s="26">
        <f t="shared" si="2"/>
        <v>-8.4671999997226521E-2</v>
      </c>
      <c r="H47" s="26"/>
      <c r="I47" s="26">
        <f t="shared" si="4"/>
        <v>-8.4671999997226521E-2</v>
      </c>
      <c r="J47" s="26"/>
      <c r="K47" s="26"/>
      <c r="L47" s="26"/>
      <c r="M47" s="26"/>
      <c r="N47" s="26"/>
      <c r="O47" s="26"/>
      <c r="P47" s="26"/>
      <c r="Q47" s="28">
        <f t="shared" si="3"/>
        <v>20400.944000000003</v>
      </c>
      <c r="S47" s="26">
        <f t="shared" si="5"/>
        <v>7.1693475835303277E-3</v>
      </c>
    </row>
    <row r="48" spans="1:19" x14ac:dyDescent="0.2">
      <c r="A48" s="42" t="s">
        <v>72</v>
      </c>
      <c r="B48" s="49" t="s">
        <v>45</v>
      </c>
      <c r="C48" s="43">
        <v>35721.58</v>
      </c>
      <c r="D48" s="43" t="s">
        <v>61</v>
      </c>
      <c r="E48" s="26">
        <f t="shared" si="0"/>
        <v>-6471.0017770188906</v>
      </c>
      <c r="F48" s="26">
        <f t="shared" si="1"/>
        <v>-6471</v>
      </c>
      <c r="G48" s="26">
        <f t="shared" si="2"/>
        <v>-5.1119999989168718E-3</v>
      </c>
      <c r="H48" s="26"/>
      <c r="I48" s="26">
        <f t="shared" si="4"/>
        <v>-5.1119999989168718E-3</v>
      </c>
      <c r="J48" s="26"/>
      <c r="K48" s="26"/>
      <c r="L48" s="26"/>
      <c r="M48" s="26"/>
      <c r="N48" s="26"/>
      <c r="O48" s="26"/>
      <c r="P48" s="26"/>
      <c r="Q48" s="28">
        <f t="shared" si="3"/>
        <v>20703.080000000002</v>
      </c>
      <c r="S48" s="26">
        <f t="shared" si="5"/>
        <v>2.6132543988926099E-5</v>
      </c>
    </row>
    <row r="49" spans="1:31" x14ac:dyDescent="0.2">
      <c r="A49" s="42" t="s">
        <v>72</v>
      </c>
      <c r="B49" s="49" t="s">
        <v>45</v>
      </c>
      <c r="C49" s="43">
        <v>35868.328000000001</v>
      </c>
      <c r="D49" s="43" t="s">
        <v>61</v>
      </c>
      <c r="E49" s="26">
        <f t="shared" si="0"/>
        <v>-6419.9896549134983</v>
      </c>
      <c r="F49" s="26">
        <f t="shared" si="1"/>
        <v>-6420</v>
      </c>
      <c r="G49" s="26">
        <f t="shared" si="2"/>
        <v>2.9759999997622799E-2</v>
      </c>
      <c r="H49" s="26"/>
      <c r="I49" s="26">
        <f t="shared" si="4"/>
        <v>2.9759999997622799E-2</v>
      </c>
      <c r="J49" s="26"/>
      <c r="K49" s="26"/>
      <c r="L49" s="26"/>
      <c r="M49" s="26"/>
      <c r="N49" s="26"/>
      <c r="O49" s="26"/>
      <c r="P49" s="26"/>
      <c r="Q49" s="28">
        <f t="shared" si="3"/>
        <v>20849.828000000001</v>
      </c>
      <c r="S49" s="26">
        <f t="shared" si="5"/>
        <v>8.8565759985850898E-4</v>
      </c>
    </row>
    <row r="50" spans="1:31" x14ac:dyDescent="0.2">
      <c r="A50" s="42" t="s">
        <v>89</v>
      </c>
      <c r="B50" s="49" t="s">
        <v>45</v>
      </c>
      <c r="C50" s="43">
        <v>35894.116999999998</v>
      </c>
      <c r="D50" s="43" t="s">
        <v>61</v>
      </c>
      <c r="E50" s="26">
        <f t="shared" si="0"/>
        <v>-6411.0249561307155</v>
      </c>
      <c r="F50" s="26">
        <f t="shared" si="1"/>
        <v>-6411</v>
      </c>
      <c r="G50" s="26">
        <f t="shared" si="2"/>
        <v>-7.1792000002460554E-2</v>
      </c>
      <c r="H50" s="26"/>
      <c r="I50" s="26">
        <f t="shared" si="4"/>
        <v>-7.1792000002460554E-2</v>
      </c>
      <c r="J50" s="26"/>
      <c r="K50" s="26"/>
      <c r="L50" s="26"/>
      <c r="M50" s="26"/>
      <c r="N50" s="26"/>
      <c r="O50" s="26"/>
      <c r="P50" s="26"/>
      <c r="Q50" s="28">
        <f t="shared" si="3"/>
        <v>20875.616999999998</v>
      </c>
      <c r="S50" s="26">
        <f t="shared" si="5"/>
        <v>5.1540912643532966E-3</v>
      </c>
    </row>
    <row r="51" spans="1:31" x14ac:dyDescent="0.2">
      <c r="A51" s="42" t="s">
        <v>161</v>
      </c>
      <c r="B51" s="49" t="s">
        <v>45</v>
      </c>
      <c r="C51" s="43">
        <v>42726.391000000003</v>
      </c>
      <c r="D51" s="43" t="s">
        <v>61</v>
      </c>
      <c r="E51" s="26">
        <f t="shared" si="0"/>
        <v>-4036.009313358787</v>
      </c>
      <c r="F51" s="26">
        <f t="shared" si="1"/>
        <v>-4036</v>
      </c>
      <c r="G51" s="26">
        <f t="shared" si="2"/>
        <v>-2.6791999996930826E-2</v>
      </c>
      <c r="H51" s="26"/>
      <c r="I51" s="26">
        <f t="shared" si="4"/>
        <v>-2.6791999996930826E-2</v>
      </c>
      <c r="J51" s="26"/>
      <c r="K51" s="26"/>
      <c r="L51" s="26"/>
      <c r="M51" s="26"/>
      <c r="N51" s="26"/>
      <c r="O51" s="26"/>
      <c r="P51" s="26"/>
      <c r="Q51" s="28">
        <f t="shared" si="3"/>
        <v>27707.891000000003</v>
      </c>
      <c r="S51" s="26">
        <f t="shared" si="5"/>
        <v>7.1781126383554136E-4</v>
      </c>
    </row>
    <row r="52" spans="1:31" x14ac:dyDescent="0.2">
      <c r="A52" s="26" t="s">
        <v>29</v>
      </c>
      <c r="B52" s="50"/>
      <c r="C52" s="27">
        <v>42729.267999999996</v>
      </c>
      <c r="D52" s="27"/>
      <c r="E52" s="26">
        <f t="shared" si="0"/>
        <v>-4035.0092188069234</v>
      </c>
      <c r="F52" s="26">
        <f t="shared" si="1"/>
        <v>-4035</v>
      </c>
      <c r="G52" s="26">
        <f t="shared" si="2"/>
        <v>-2.651999999943655E-2</v>
      </c>
      <c r="H52" s="26"/>
      <c r="I52" s="26"/>
      <c r="J52" s="26"/>
      <c r="K52" s="26"/>
      <c r="L52" s="26"/>
      <c r="M52" s="26"/>
      <c r="N52" s="26">
        <f>+G52</f>
        <v>-2.651999999943655E-2</v>
      </c>
      <c r="O52" s="26"/>
      <c r="P52" s="26"/>
      <c r="Q52" s="28">
        <f t="shared" si="3"/>
        <v>27710.767999999996</v>
      </c>
      <c r="S52" s="26">
        <f t="shared" si="5"/>
        <v>7.0331039997011461E-4</v>
      </c>
      <c r="AA52" t="s">
        <v>28</v>
      </c>
      <c r="AE52" t="s">
        <v>30</v>
      </c>
    </row>
    <row r="53" spans="1:31" x14ac:dyDescent="0.2">
      <c r="A53" s="26" t="s">
        <v>33</v>
      </c>
      <c r="B53" s="50"/>
      <c r="C53" s="27">
        <v>47208.322</v>
      </c>
      <c r="D53" s="27"/>
      <c r="E53" s="26">
        <f t="shared" si="0"/>
        <v>-2478.0132150137238</v>
      </c>
      <c r="F53" s="26">
        <f t="shared" si="1"/>
        <v>-2478</v>
      </c>
      <c r="G53" s="26">
        <f t="shared" si="2"/>
        <v>-3.8015999998606276E-2</v>
      </c>
      <c r="H53" s="26"/>
      <c r="I53" s="26">
        <f>+G53</f>
        <v>-3.8015999998606276E-2</v>
      </c>
      <c r="J53" s="26"/>
      <c r="K53" s="26"/>
      <c r="L53" s="26"/>
      <c r="M53" s="26"/>
      <c r="N53" s="26"/>
      <c r="O53" s="26"/>
      <c r="P53" s="26"/>
      <c r="Q53" s="28">
        <f t="shared" si="3"/>
        <v>32189.822</v>
      </c>
      <c r="S53" s="26">
        <f t="shared" si="5"/>
        <v>1.4452162558940323E-3</v>
      </c>
      <c r="AA53" t="s">
        <v>31</v>
      </c>
      <c r="AB53">
        <v>8</v>
      </c>
      <c r="AC53" t="s">
        <v>32</v>
      </c>
      <c r="AE53" t="s">
        <v>34</v>
      </c>
    </row>
    <row r="54" spans="1:31" x14ac:dyDescent="0.2">
      <c r="A54" s="26" t="s">
        <v>35</v>
      </c>
      <c r="B54" s="50"/>
      <c r="C54" s="27">
        <v>47536.300999999999</v>
      </c>
      <c r="D54" s="27"/>
      <c r="E54" s="26">
        <f t="shared" si="0"/>
        <v>-2364.0020884838609</v>
      </c>
      <c r="F54" s="26">
        <f t="shared" si="1"/>
        <v>-2364</v>
      </c>
      <c r="G54" s="26">
        <f t="shared" si="2"/>
        <v>-6.0080000039306469E-3</v>
      </c>
      <c r="H54" s="26"/>
      <c r="I54" s="26">
        <f>+G54</f>
        <v>-6.0080000039306469E-3</v>
      </c>
      <c r="J54" s="26"/>
      <c r="K54" s="26"/>
      <c r="L54" s="26"/>
      <c r="M54" s="26"/>
      <c r="N54" s="26"/>
      <c r="O54" s="26"/>
      <c r="P54" s="26"/>
      <c r="Q54" s="28">
        <f t="shared" si="3"/>
        <v>32517.800999999999</v>
      </c>
      <c r="S54" s="26">
        <f t="shared" si="5"/>
        <v>3.6096064047230655E-5</v>
      </c>
      <c r="AA54" t="s">
        <v>31</v>
      </c>
      <c r="AB54">
        <v>12</v>
      </c>
      <c r="AC54" t="s">
        <v>32</v>
      </c>
      <c r="AE54" t="s">
        <v>34</v>
      </c>
    </row>
    <row r="55" spans="1:31" x14ac:dyDescent="0.2">
      <c r="A55" s="8" t="s">
        <v>36</v>
      </c>
      <c r="B55" s="51"/>
      <c r="C55" s="27">
        <v>51923.2552</v>
      </c>
      <c r="D55" s="27">
        <v>8.0000000000000004E-4</v>
      </c>
      <c r="E55" s="26">
        <f t="shared" si="0"/>
        <v>-839.02155504448115</v>
      </c>
      <c r="F55" s="26">
        <f t="shared" si="1"/>
        <v>-839</v>
      </c>
      <c r="G55" s="26">
        <f t="shared" si="2"/>
        <v>-6.2008000000787433E-2</v>
      </c>
      <c r="H55" s="26"/>
      <c r="I55" s="26"/>
      <c r="J55" s="26">
        <f>+G55</f>
        <v>-6.2008000000787433E-2</v>
      </c>
      <c r="K55" s="26"/>
      <c r="L55" s="26"/>
      <c r="M55" s="26"/>
      <c r="N55" s="26"/>
      <c r="O55" s="26">
        <f t="shared" ref="O55:O64" ca="1" si="6">+C$11+C$12*$F55</f>
        <v>-8.5573917162093616E-2</v>
      </c>
      <c r="P55" s="26"/>
      <c r="Q55" s="28">
        <f t="shared" si="3"/>
        <v>36904.7552</v>
      </c>
      <c r="S55" s="26">
        <f t="shared" ca="1" si="5"/>
        <v>5.5535245165354524E-4</v>
      </c>
    </row>
    <row r="56" spans="1:31" x14ac:dyDescent="0.2">
      <c r="A56" s="42" t="s">
        <v>184</v>
      </c>
      <c r="B56" s="49" t="s">
        <v>45</v>
      </c>
      <c r="C56" s="43">
        <v>52279.954299999998</v>
      </c>
      <c r="D56" s="43" t="s">
        <v>61</v>
      </c>
      <c r="E56" s="26">
        <f t="shared" si="0"/>
        <v>-715.02682909194129</v>
      </c>
      <c r="F56" s="26">
        <f t="shared" si="1"/>
        <v>-715</v>
      </c>
      <c r="G56" s="26">
        <f t="shared" si="2"/>
        <v>-7.7180000000225846E-2</v>
      </c>
      <c r="H56" s="26"/>
      <c r="I56" s="26">
        <f>+G56</f>
        <v>-7.7180000000225846E-2</v>
      </c>
      <c r="J56" s="26"/>
      <c r="L56" s="26"/>
      <c r="M56" s="26"/>
      <c r="N56" s="26"/>
      <c r="O56" s="26">
        <f t="shared" ca="1" si="6"/>
        <v>-7.3122568896586027E-2</v>
      </c>
      <c r="P56" s="26"/>
      <c r="Q56" s="28">
        <f t="shared" si="3"/>
        <v>37261.454299999998</v>
      </c>
      <c r="S56" s="26">
        <f t="shared" ca="1" si="5"/>
        <v>1.6462747160783841E-5</v>
      </c>
    </row>
    <row r="57" spans="1:31" x14ac:dyDescent="0.2">
      <c r="A57" s="42" t="s">
        <v>190</v>
      </c>
      <c r="B57" s="49" t="s">
        <v>45</v>
      </c>
      <c r="C57" s="43">
        <v>54075.091200000003</v>
      </c>
      <c r="D57" s="43" t="s">
        <v>61</v>
      </c>
      <c r="E57" s="26">
        <f t="shared" si="0"/>
        <v>-91.006448993438809</v>
      </c>
      <c r="F57" s="26">
        <f t="shared" si="1"/>
        <v>-91</v>
      </c>
      <c r="G57" s="26">
        <f t="shared" si="2"/>
        <v>-1.8551999994087964E-2</v>
      </c>
      <c r="H57" s="26"/>
      <c r="I57" s="26">
        <f>+G57</f>
        <v>-1.8551999994087964E-2</v>
      </c>
      <c r="J57" s="26"/>
      <c r="L57" s="26"/>
      <c r="M57" s="26"/>
      <c r="N57" s="26"/>
      <c r="O57" s="26">
        <f t="shared" ca="1" si="6"/>
        <v>-1.0464171173386548E-2</v>
      </c>
      <c r="P57" s="26"/>
      <c r="Q57" s="28">
        <f t="shared" si="3"/>
        <v>39056.591200000003</v>
      </c>
      <c r="S57" s="26">
        <f t="shared" ca="1" si="5"/>
        <v>6.5412975032968471E-5</v>
      </c>
    </row>
    <row r="58" spans="1:31" x14ac:dyDescent="0.2">
      <c r="A58" s="42" t="str">
        <f>$D$7</f>
        <v>VSX</v>
      </c>
      <c r="B58" s="49"/>
      <c r="C58" s="43">
        <f>$C$7</f>
        <v>54336.892</v>
      </c>
      <c r="D58" s="43"/>
      <c r="E58" s="26">
        <f t="shared" si="0"/>
        <v>0</v>
      </c>
      <c r="F58" s="26">
        <f t="shared" si="1"/>
        <v>0</v>
      </c>
      <c r="G58" s="26">
        <f t="shared" si="2"/>
        <v>0</v>
      </c>
      <c r="H58" s="26"/>
      <c r="J58" s="26"/>
      <c r="K58" s="26">
        <f>+G58</f>
        <v>0</v>
      </c>
      <c r="L58" s="26"/>
      <c r="M58" s="26"/>
      <c r="N58" s="26"/>
      <c r="O58" s="26">
        <f t="shared" ca="1" si="6"/>
        <v>-1.3264881720866234E-3</v>
      </c>
      <c r="P58" s="26"/>
      <c r="Q58" s="28">
        <f t="shared" si="3"/>
        <v>39318.392</v>
      </c>
      <c r="S58" s="26">
        <f t="shared" ca="1" si="5"/>
        <v>1.7595708706857113E-6</v>
      </c>
    </row>
    <row r="59" spans="1:31" x14ac:dyDescent="0.2">
      <c r="A59" s="45" t="s">
        <v>44</v>
      </c>
      <c r="B59" s="46" t="s">
        <v>45</v>
      </c>
      <c r="C59" s="45">
        <v>55128.012999999999</v>
      </c>
      <c r="D59" s="45">
        <v>3.0000000000000001E-3</v>
      </c>
      <c r="E59" s="26">
        <f t="shared" si="0"/>
        <v>275.00723043680154</v>
      </c>
      <c r="F59" s="26">
        <f t="shared" si="1"/>
        <v>275</v>
      </c>
      <c r="G59" s="26">
        <f t="shared" si="2"/>
        <v>2.0799999998416752E-2</v>
      </c>
      <c r="H59" s="26"/>
      <c r="I59" s="26"/>
      <c r="K59" s="26">
        <f>+G59</f>
        <v>2.0799999998416752E-2</v>
      </c>
      <c r="L59" s="26"/>
      <c r="M59" s="26"/>
      <c r="N59" s="26"/>
      <c r="O59" s="26">
        <f t="shared" ca="1" si="6"/>
        <v>2.6287389029643917E-2</v>
      </c>
      <c r="P59" s="26"/>
      <c r="Q59" s="28">
        <f t="shared" si="3"/>
        <v>40109.512999999999</v>
      </c>
      <c r="S59" s="26">
        <f t="shared" ca="1" si="5"/>
        <v>3.0111438380032209E-5</v>
      </c>
    </row>
    <row r="60" spans="1:31" x14ac:dyDescent="0.2">
      <c r="A60" s="45" t="s">
        <v>50</v>
      </c>
      <c r="B60" s="46" t="s">
        <v>45</v>
      </c>
      <c r="C60" s="45">
        <v>55855.867899999997</v>
      </c>
      <c r="D60" s="45">
        <v>5.0000000000000001E-4</v>
      </c>
      <c r="E60" s="26">
        <f t="shared" si="0"/>
        <v>528.0220792511484</v>
      </c>
      <c r="F60" s="26">
        <f t="shared" si="1"/>
        <v>528</v>
      </c>
      <c r="G60" s="26">
        <f t="shared" si="2"/>
        <v>6.3515999994706362E-2</v>
      </c>
      <c r="H60" s="26"/>
      <c r="I60" s="26"/>
      <c r="K60" s="26">
        <f>+G60</f>
        <v>6.3515999994706362E-2</v>
      </c>
      <c r="L60" s="26"/>
      <c r="M60" s="26"/>
      <c r="N60" s="26"/>
      <c r="O60" s="26">
        <f t="shared" ca="1" si="6"/>
        <v>5.1692156055236013E-2</v>
      </c>
      <c r="P60" s="26"/>
      <c r="Q60" s="28">
        <f t="shared" si="3"/>
        <v>40837.367899999997</v>
      </c>
      <c r="S60" s="26">
        <f t="shared" ca="1" si="5"/>
        <v>1.3980328550494971E-4</v>
      </c>
    </row>
    <row r="61" spans="1:31" x14ac:dyDescent="0.2">
      <c r="A61" s="42" t="s">
        <v>208</v>
      </c>
      <c r="B61" s="49" t="s">
        <v>45</v>
      </c>
      <c r="C61" s="43">
        <v>56995.0959</v>
      </c>
      <c r="D61" s="43" t="s">
        <v>61</v>
      </c>
      <c r="E61" s="26">
        <f t="shared" si="0"/>
        <v>924.03727429218213</v>
      </c>
      <c r="F61" s="26">
        <f t="shared" si="1"/>
        <v>924</v>
      </c>
      <c r="G61" s="26">
        <f t="shared" si="2"/>
        <v>0.10722800000075949</v>
      </c>
      <c r="H61" s="26"/>
      <c r="I61" s="26">
        <f>+G61</f>
        <v>0.10722800000075949</v>
      </c>
      <c r="J61" s="26"/>
      <c r="L61" s="26"/>
      <c r="M61" s="26"/>
      <c r="N61" s="26"/>
      <c r="O61" s="26">
        <f t="shared" ca="1" si="6"/>
        <v>9.1456139225727998E-2</v>
      </c>
      <c r="P61" s="26"/>
      <c r="Q61" s="28">
        <f t="shared" si="3"/>
        <v>41976.5959</v>
      </c>
      <c r="S61" s="26">
        <f t="shared" ca="1" si="5"/>
        <v>2.4875159230697708E-4</v>
      </c>
    </row>
    <row r="62" spans="1:31" x14ac:dyDescent="0.2">
      <c r="A62" s="52" t="s">
        <v>210</v>
      </c>
      <c r="B62" s="53" t="s">
        <v>45</v>
      </c>
      <c r="C62" s="54">
        <v>58094.023099999999</v>
      </c>
      <c r="D62" s="55" t="s">
        <v>60</v>
      </c>
      <c r="E62" s="26">
        <f t="shared" si="0"/>
        <v>1306.0432199359825</v>
      </c>
      <c r="F62" s="26">
        <f t="shared" si="1"/>
        <v>1306</v>
      </c>
      <c r="G62" s="26">
        <f t="shared" si="2"/>
        <v>0.1243319999994128</v>
      </c>
      <c r="H62" s="26"/>
      <c r="J62" s="26"/>
      <c r="K62" s="26">
        <f>+G62</f>
        <v>0.1243319999994128</v>
      </c>
      <c r="L62" s="26"/>
      <c r="M62" s="26"/>
      <c r="N62" s="26"/>
      <c r="O62" s="26">
        <f t="shared" ca="1" si="6"/>
        <v>0.12981432501140461</v>
      </c>
      <c r="P62" s="26"/>
      <c r="Q62" s="28">
        <f t="shared" si="3"/>
        <v>43075.523099999999</v>
      </c>
      <c r="S62" s="26">
        <f t="shared" ca="1" si="5"/>
        <v>3.0055887537110964E-5</v>
      </c>
    </row>
    <row r="63" spans="1:31" x14ac:dyDescent="0.2">
      <c r="A63" s="52" t="s">
        <v>210</v>
      </c>
      <c r="B63" s="53" t="s">
        <v>45</v>
      </c>
      <c r="C63" s="54">
        <v>58094.023300000001</v>
      </c>
      <c r="D63" s="55" t="s">
        <v>211</v>
      </c>
      <c r="E63" s="26">
        <f t="shared" si="0"/>
        <v>1306.0432894594139</v>
      </c>
      <c r="F63" s="26">
        <f t="shared" si="1"/>
        <v>1306</v>
      </c>
      <c r="G63" s="26">
        <f t="shared" si="2"/>
        <v>0.12453200000163633</v>
      </c>
      <c r="H63" s="26"/>
      <c r="J63" s="26"/>
      <c r="K63" s="26">
        <f>+G63</f>
        <v>0.12453200000163633</v>
      </c>
      <c r="L63" s="26"/>
      <c r="M63" s="26"/>
      <c r="N63" s="26"/>
      <c r="O63" s="26">
        <f t="shared" ca="1" si="6"/>
        <v>0.12981432501140461</v>
      </c>
      <c r="P63" s="26"/>
      <c r="Q63" s="28">
        <f t="shared" si="3"/>
        <v>43075.523300000001</v>
      </c>
      <c r="S63" s="26">
        <f t="shared" ca="1" si="5"/>
        <v>2.7902957508823394E-5</v>
      </c>
    </row>
    <row r="64" spans="1:31" x14ac:dyDescent="0.2">
      <c r="A64" s="52" t="s">
        <v>210</v>
      </c>
      <c r="B64" s="53" t="s">
        <v>45</v>
      </c>
      <c r="C64" s="54">
        <v>58094.023999999998</v>
      </c>
      <c r="D64" s="55" t="s">
        <v>34</v>
      </c>
      <c r="E64" s="26">
        <f t="shared" si="0"/>
        <v>1306.0435327914206</v>
      </c>
      <c r="F64" s="26">
        <f t="shared" si="1"/>
        <v>1306</v>
      </c>
      <c r="G64" s="26">
        <f t="shared" si="2"/>
        <v>0.12523199999850476</v>
      </c>
      <c r="H64" s="26"/>
      <c r="J64" s="26"/>
      <c r="K64" s="26">
        <f>+G64</f>
        <v>0.12523199999850476</v>
      </c>
      <c r="L64" s="26"/>
      <c r="M64" s="26"/>
      <c r="N64" s="26"/>
      <c r="O64" s="26">
        <f t="shared" ca="1" si="6"/>
        <v>0.12981432501140461</v>
      </c>
      <c r="P64" s="26"/>
      <c r="Q64" s="28">
        <f t="shared" si="3"/>
        <v>43075.523999999998</v>
      </c>
      <c r="S64" s="26">
        <f t="shared" ca="1" si="5"/>
        <v>2.0997702523847573E-5</v>
      </c>
    </row>
    <row r="65" spans="1:4" x14ac:dyDescent="0.2">
      <c r="A65" s="42"/>
      <c r="B65" s="49"/>
      <c r="C65" s="43"/>
      <c r="D65" s="43"/>
    </row>
    <row r="66" spans="1:4" x14ac:dyDescent="0.2">
      <c r="A66" s="42"/>
      <c r="B66" s="49"/>
      <c r="C66" s="43"/>
      <c r="D66" s="43"/>
    </row>
    <row r="67" spans="1:4" x14ac:dyDescent="0.2">
      <c r="A67" s="42"/>
      <c r="B67" s="49"/>
      <c r="C67" s="43"/>
      <c r="D67" s="43"/>
    </row>
    <row r="68" spans="1:4" x14ac:dyDescent="0.2">
      <c r="A68" s="42"/>
      <c r="B68" s="49"/>
      <c r="C68" s="43"/>
      <c r="D68" s="43"/>
    </row>
    <row r="69" spans="1:4" x14ac:dyDescent="0.2">
      <c r="A69" s="42"/>
      <c r="B69" s="49"/>
      <c r="C69" s="43"/>
      <c r="D69" s="43"/>
    </row>
    <row r="70" spans="1:4" x14ac:dyDescent="0.2">
      <c r="A70" s="42"/>
      <c r="B70" s="49"/>
      <c r="C70" s="43"/>
      <c r="D70" s="43"/>
    </row>
    <row r="71" spans="1:4" x14ac:dyDescent="0.2">
      <c r="A71" s="42"/>
      <c r="B71" s="49"/>
      <c r="C71" s="43"/>
      <c r="D71" s="43"/>
    </row>
    <row r="72" spans="1:4" x14ac:dyDescent="0.2">
      <c r="A72" s="42"/>
      <c r="B72" s="49"/>
      <c r="C72" s="43"/>
      <c r="D72" s="43"/>
    </row>
    <row r="73" spans="1:4" x14ac:dyDescent="0.2">
      <c r="A73" s="42"/>
      <c r="B73" s="49"/>
      <c r="C73" s="43"/>
      <c r="D73" s="43"/>
    </row>
    <row r="74" spans="1:4" x14ac:dyDescent="0.2">
      <c r="A74" s="42"/>
      <c r="B74" s="49"/>
      <c r="C74" s="43"/>
      <c r="D74" s="43"/>
    </row>
    <row r="75" spans="1:4" x14ac:dyDescent="0.2">
      <c r="A75" s="42"/>
      <c r="B75" s="49"/>
      <c r="C75" s="43"/>
      <c r="D75" s="43"/>
    </row>
    <row r="76" spans="1:4" x14ac:dyDescent="0.2">
      <c r="A76" s="42"/>
      <c r="B76" s="49"/>
      <c r="C76" s="43"/>
      <c r="D76" s="43"/>
    </row>
    <row r="77" spans="1:4" x14ac:dyDescent="0.2">
      <c r="A77" s="42"/>
      <c r="B77" s="49"/>
      <c r="C77" s="43"/>
      <c r="D77" s="43"/>
    </row>
    <row r="78" spans="1:4" x14ac:dyDescent="0.2">
      <c r="A78" s="42"/>
      <c r="B78" s="49"/>
      <c r="C78" s="43"/>
      <c r="D78" s="43"/>
    </row>
    <row r="79" spans="1:4" x14ac:dyDescent="0.2">
      <c r="A79" s="42"/>
      <c r="B79" s="49"/>
      <c r="C79" s="43"/>
      <c r="D79" s="43"/>
    </row>
    <row r="80" spans="1:4" x14ac:dyDescent="0.2">
      <c r="A80" s="42"/>
      <c r="B80" s="49"/>
      <c r="C80" s="43"/>
      <c r="D80" s="43"/>
    </row>
    <row r="81" spans="1:4" x14ac:dyDescent="0.2">
      <c r="A81" s="42"/>
      <c r="B81" s="49"/>
      <c r="C81" s="43"/>
      <c r="D81" s="43"/>
    </row>
    <row r="82" spans="1:4" x14ac:dyDescent="0.2">
      <c r="A82" s="42"/>
      <c r="B82" s="49"/>
      <c r="C82" s="43"/>
      <c r="D82" s="43"/>
    </row>
    <row r="83" spans="1:4" x14ac:dyDescent="0.2">
      <c r="A83" s="42"/>
      <c r="B83" s="49"/>
      <c r="C83" s="43"/>
      <c r="D83" s="43"/>
    </row>
    <row r="84" spans="1:4" x14ac:dyDescent="0.2">
      <c r="A84" s="42"/>
      <c r="B84" s="49"/>
      <c r="C84" s="43"/>
      <c r="D84" s="43"/>
    </row>
    <row r="85" spans="1:4" x14ac:dyDescent="0.2">
      <c r="A85" s="42"/>
      <c r="B85" s="49"/>
      <c r="C85" s="43"/>
      <c r="D85" s="43"/>
    </row>
    <row r="86" spans="1:4" x14ac:dyDescent="0.2">
      <c r="A86" s="42"/>
      <c r="B86" s="49"/>
      <c r="C86" s="43"/>
      <c r="D86" s="43"/>
    </row>
    <row r="87" spans="1:4" x14ac:dyDescent="0.2">
      <c r="A87" s="42"/>
      <c r="B87" s="49"/>
      <c r="C87" s="43"/>
      <c r="D87" s="43"/>
    </row>
    <row r="88" spans="1:4" x14ac:dyDescent="0.2">
      <c r="A88" s="42"/>
      <c r="B88" s="49"/>
      <c r="C88" s="43"/>
      <c r="D88" s="43"/>
    </row>
    <row r="89" spans="1:4" x14ac:dyDescent="0.2">
      <c r="A89" s="42"/>
      <c r="B89" s="49"/>
      <c r="C89" s="43"/>
      <c r="D89" s="43"/>
    </row>
    <row r="90" spans="1:4" x14ac:dyDescent="0.2">
      <c r="A90" s="42"/>
      <c r="B90" s="49"/>
      <c r="C90" s="43"/>
      <c r="D90" s="43"/>
    </row>
    <row r="91" spans="1:4" x14ac:dyDescent="0.2">
      <c r="A91" s="42"/>
      <c r="B91" s="49"/>
      <c r="C91" s="43"/>
      <c r="D91" s="43"/>
    </row>
    <row r="92" spans="1:4" x14ac:dyDescent="0.2">
      <c r="A92" s="42"/>
      <c r="B92" s="49"/>
      <c r="C92" s="43"/>
      <c r="D92" s="43"/>
    </row>
    <row r="93" spans="1:4" x14ac:dyDescent="0.2">
      <c r="A93" s="42"/>
      <c r="B93" s="49"/>
      <c r="C93" s="43"/>
      <c r="D93" s="43"/>
    </row>
    <row r="94" spans="1:4" x14ac:dyDescent="0.2">
      <c r="A94" s="42"/>
      <c r="B94" s="49"/>
      <c r="C94" s="43"/>
      <c r="D94" s="43"/>
    </row>
    <row r="95" spans="1:4" x14ac:dyDescent="0.2">
      <c r="A95" s="42"/>
      <c r="B95" s="49"/>
      <c r="C95" s="43"/>
      <c r="D95" s="43"/>
    </row>
    <row r="96" spans="1:4" x14ac:dyDescent="0.2">
      <c r="A96" s="42"/>
      <c r="B96" s="49"/>
      <c r="C96" s="43"/>
      <c r="D96" s="43"/>
    </row>
    <row r="97" spans="1:4" x14ac:dyDescent="0.2">
      <c r="A97" s="42"/>
      <c r="B97" s="49"/>
      <c r="C97" s="43"/>
      <c r="D97" s="43"/>
    </row>
    <row r="98" spans="1:4" x14ac:dyDescent="0.2">
      <c r="A98" s="42"/>
      <c r="B98" s="49"/>
      <c r="C98" s="43"/>
      <c r="D98" s="43"/>
    </row>
    <row r="99" spans="1:4" x14ac:dyDescent="0.2">
      <c r="A99" s="42"/>
      <c r="B99" s="49"/>
      <c r="C99" s="43"/>
      <c r="D99" s="43"/>
    </row>
    <row r="100" spans="1:4" x14ac:dyDescent="0.2">
      <c r="A100" s="42"/>
      <c r="B100" s="49"/>
      <c r="C100" s="43"/>
      <c r="D100" s="43"/>
    </row>
    <row r="101" spans="1:4" x14ac:dyDescent="0.2">
      <c r="A101" s="42"/>
      <c r="B101" s="49"/>
      <c r="C101" s="43"/>
      <c r="D101" s="43"/>
    </row>
    <row r="102" spans="1:4" x14ac:dyDescent="0.2">
      <c r="A102" s="42"/>
      <c r="B102" s="49"/>
      <c r="C102" s="43"/>
      <c r="D102" s="43"/>
    </row>
    <row r="103" spans="1:4" x14ac:dyDescent="0.2">
      <c r="A103" s="42"/>
      <c r="B103" s="49"/>
      <c r="C103" s="43"/>
      <c r="D103" s="43"/>
    </row>
    <row r="104" spans="1:4" x14ac:dyDescent="0.2">
      <c r="A104" s="42"/>
      <c r="B104" s="49"/>
      <c r="C104" s="43"/>
      <c r="D104" s="43"/>
    </row>
    <row r="105" spans="1:4" x14ac:dyDescent="0.2">
      <c r="A105" s="42"/>
      <c r="B105" s="49"/>
      <c r="C105" s="43"/>
      <c r="D105" s="43"/>
    </row>
    <row r="106" spans="1:4" x14ac:dyDescent="0.2">
      <c r="A106" s="42"/>
      <c r="B106" s="49"/>
      <c r="C106" s="43"/>
      <c r="D106" s="43"/>
    </row>
    <row r="107" spans="1:4" x14ac:dyDescent="0.2">
      <c r="A107" s="42"/>
      <c r="B107" s="49"/>
      <c r="C107" s="43"/>
      <c r="D107" s="43"/>
    </row>
    <row r="108" spans="1:4" x14ac:dyDescent="0.2">
      <c r="A108" s="42"/>
      <c r="B108" s="49"/>
      <c r="C108" s="43"/>
      <c r="D108" s="43"/>
    </row>
    <row r="109" spans="1:4" x14ac:dyDescent="0.2">
      <c r="A109" s="42"/>
      <c r="B109" s="49"/>
      <c r="C109" s="43"/>
      <c r="D109" s="43"/>
    </row>
    <row r="110" spans="1:4" x14ac:dyDescent="0.2">
      <c r="A110" s="42"/>
      <c r="B110" s="49"/>
      <c r="C110" s="43"/>
      <c r="D110" s="43"/>
    </row>
    <row r="111" spans="1:4" x14ac:dyDescent="0.2">
      <c r="A111" s="42"/>
      <c r="B111" s="49"/>
      <c r="C111" s="43"/>
      <c r="D111" s="43"/>
    </row>
    <row r="112" spans="1:4" x14ac:dyDescent="0.2">
      <c r="A112" s="42"/>
      <c r="B112" s="49"/>
      <c r="C112" s="43"/>
      <c r="D112" s="43"/>
    </row>
    <row r="113" spans="1:4" x14ac:dyDescent="0.2">
      <c r="A113" s="42"/>
      <c r="B113" s="49"/>
      <c r="C113" s="43"/>
      <c r="D113" s="43"/>
    </row>
    <row r="114" spans="1:4" x14ac:dyDescent="0.2">
      <c r="A114" s="42"/>
      <c r="B114" s="49"/>
      <c r="C114" s="43"/>
      <c r="D114" s="43"/>
    </row>
    <row r="115" spans="1:4" x14ac:dyDescent="0.2">
      <c r="A115" s="42"/>
      <c r="B115" s="49"/>
      <c r="C115" s="43"/>
      <c r="D115" s="43"/>
    </row>
    <row r="116" spans="1:4" x14ac:dyDescent="0.2">
      <c r="A116" s="42"/>
      <c r="B116" s="49"/>
      <c r="C116" s="43"/>
      <c r="D116" s="43"/>
    </row>
    <row r="117" spans="1:4" x14ac:dyDescent="0.2">
      <c r="A117" s="42"/>
      <c r="B117" s="49"/>
      <c r="C117" s="43"/>
      <c r="D117" s="43"/>
    </row>
    <row r="118" spans="1:4" x14ac:dyDescent="0.2">
      <c r="A118" s="42"/>
      <c r="B118" s="49"/>
      <c r="C118" s="43"/>
      <c r="D118" s="43"/>
    </row>
    <row r="119" spans="1:4" x14ac:dyDescent="0.2">
      <c r="A119" s="42"/>
      <c r="B119" s="49"/>
      <c r="C119" s="43"/>
      <c r="D119" s="43"/>
    </row>
    <row r="120" spans="1:4" x14ac:dyDescent="0.2">
      <c r="A120" s="42"/>
      <c r="B120" s="49"/>
      <c r="C120" s="43"/>
      <c r="D120" s="43"/>
    </row>
    <row r="121" spans="1:4" x14ac:dyDescent="0.2">
      <c r="A121" s="42"/>
      <c r="B121" s="49"/>
      <c r="C121" s="43"/>
      <c r="D121" s="43"/>
    </row>
    <row r="122" spans="1:4" x14ac:dyDescent="0.2">
      <c r="A122" s="42"/>
      <c r="B122" s="49"/>
      <c r="C122" s="43"/>
      <c r="D122" s="43"/>
    </row>
    <row r="123" spans="1:4" x14ac:dyDescent="0.2">
      <c r="A123" s="42"/>
      <c r="B123" s="49"/>
      <c r="C123" s="43"/>
      <c r="D123" s="43"/>
    </row>
    <row r="124" spans="1:4" x14ac:dyDescent="0.2">
      <c r="A124" s="42"/>
      <c r="B124" s="49"/>
      <c r="C124" s="43"/>
      <c r="D124" s="43"/>
    </row>
    <row r="125" spans="1:4" x14ac:dyDescent="0.2">
      <c r="A125" s="42"/>
      <c r="B125" s="49"/>
      <c r="C125" s="43"/>
      <c r="D125" s="43"/>
    </row>
    <row r="126" spans="1:4" x14ac:dyDescent="0.2">
      <c r="A126" s="42"/>
      <c r="B126" s="49"/>
      <c r="C126" s="43"/>
      <c r="D126" s="43"/>
    </row>
    <row r="127" spans="1:4" x14ac:dyDescent="0.2">
      <c r="A127" s="42"/>
      <c r="B127" s="49"/>
      <c r="C127" s="43"/>
      <c r="D127" s="43"/>
    </row>
    <row r="128" spans="1:4" x14ac:dyDescent="0.2">
      <c r="A128" s="42"/>
      <c r="B128" s="49"/>
      <c r="C128" s="43"/>
      <c r="D128" s="43"/>
    </row>
    <row r="129" spans="1:4" x14ac:dyDescent="0.2">
      <c r="A129" s="42"/>
      <c r="B129" s="49"/>
      <c r="C129" s="43"/>
      <c r="D129" s="43"/>
    </row>
    <row r="130" spans="1:4" x14ac:dyDescent="0.2">
      <c r="A130" s="42"/>
      <c r="B130" s="49"/>
      <c r="C130" s="43"/>
      <c r="D130" s="43"/>
    </row>
    <row r="131" spans="1:4" x14ac:dyDescent="0.2">
      <c r="A131" s="42"/>
      <c r="B131" s="49"/>
      <c r="C131" s="43"/>
      <c r="D131" s="43"/>
    </row>
    <row r="132" spans="1:4" x14ac:dyDescent="0.2">
      <c r="A132" s="42"/>
      <c r="B132" s="49"/>
      <c r="C132" s="43"/>
      <c r="D132" s="43"/>
    </row>
    <row r="133" spans="1:4" x14ac:dyDescent="0.2">
      <c r="A133" s="42"/>
      <c r="B133" s="49"/>
      <c r="C133" s="43"/>
      <c r="D133" s="43"/>
    </row>
    <row r="134" spans="1:4" x14ac:dyDescent="0.2">
      <c r="A134" s="42"/>
      <c r="B134" s="49"/>
      <c r="C134" s="43"/>
      <c r="D134" s="43"/>
    </row>
    <row r="135" spans="1:4" x14ac:dyDescent="0.2">
      <c r="A135" s="42"/>
      <c r="B135" s="49"/>
      <c r="C135" s="43"/>
      <c r="D135" s="43"/>
    </row>
    <row r="136" spans="1:4" x14ac:dyDescent="0.2">
      <c r="A136" s="42"/>
      <c r="B136" s="49"/>
      <c r="C136" s="43"/>
      <c r="D136" s="43"/>
    </row>
    <row r="137" spans="1:4" x14ac:dyDescent="0.2">
      <c r="A137" s="42"/>
      <c r="B137" s="49"/>
      <c r="C137" s="43"/>
      <c r="D137" s="43"/>
    </row>
    <row r="138" spans="1:4" x14ac:dyDescent="0.2">
      <c r="A138" s="42"/>
      <c r="B138" s="49"/>
      <c r="C138" s="43"/>
      <c r="D138" s="43"/>
    </row>
    <row r="139" spans="1:4" x14ac:dyDescent="0.2">
      <c r="A139" s="42"/>
      <c r="B139" s="49"/>
      <c r="C139" s="43"/>
      <c r="D139" s="43"/>
    </row>
    <row r="140" spans="1:4" x14ac:dyDescent="0.2">
      <c r="A140" s="42"/>
      <c r="B140" s="49"/>
      <c r="C140" s="43"/>
      <c r="D140" s="43"/>
    </row>
    <row r="141" spans="1:4" x14ac:dyDescent="0.2">
      <c r="A141" s="42"/>
      <c r="B141" s="49"/>
      <c r="C141" s="43"/>
      <c r="D141" s="43"/>
    </row>
    <row r="142" spans="1:4" x14ac:dyDescent="0.2">
      <c r="A142" s="42"/>
      <c r="B142" s="49"/>
      <c r="C142" s="43"/>
      <c r="D142" s="43"/>
    </row>
    <row r="143" spans="1:4" x14ac:dyDescent="0.2">
      <c r="A143" s="42"/>
      <c r="B143" s="49"/>
      <c r="C143" s="43"/>
      <c r="D143" s="43"/>
    </row>
    <row r="144" spans="1:4" x14ac:dyDescent="0.2">
      <c r="A144" s="42"/>
      <c r="B144" s="49"/>
      <c r="C144" s="43"/>
      <c r="D144" s="43"/>
    </row>
    <row r="145" spans="1:4" x14ac:dyDescent="0.2">
      <c r="A145" s="42"/>
      <c r="B145" s="49"/>
      <c r="C145" s="43"/>
      <c r="D145" s="43"/>
    </row>
    <row r="146" spans="1:4" x14ac:dyDescent="0.2">
      <c r="A146" s="42"/>
      <c r="B146" s="49"/>
      <c r="C146" s="43"/>
      <c r="D146" s="43"/>
    </row>
    <row r="147" spans="1:4" x14ac:dyDescent="0.2">
      <c r="A147" s="42"/>
      <c r="B147" s="49"/>
      <c r="C147" s="43"/>
      <c r="D147" s="43"/>
    </row>
    <row r="148" spans="1:4" x14ac:dyDescent="0.2">
      <c r="A148" s="42"/>
      <c r="B148" s="49"/>
      <c r="C148" s="43"/>
      <c r="D148" s="43"/>
    </row>
    <row r="149" spans="1:4" x14ac:dyDescent="0.2">
      <c r="A149" s="42"/>
      <c r="B149" s="49"/>
      <c r="C149" s="43"/>
      <c r="D149" s="43"/>
    </row>
    <row r="150" spans="1:4" x14ac:dyDescent="0.2">
      <c r="A150" s="42"/>
      <c r="B150" s="49"/>
      <c r="C150" s="43"/>
      <c r="D150" s="43"/>
    </row>
    <row r="151" spans="1:4" x14ac:dyDescent="0.2">
      <c r="A151" s="42"/>
      <c r="B151" s="49"/>
      <c r="C151" s="43"/>
      <c r="D151" s="43"/>
    </row>
    <row r="152" spans="1:4" x14ac:dyDescent="0.2">
      <c r="A152" s="42"/>
      <c r="B152" s="49"/>
      <c r="C152" s="43"/>
      <c r="D152" s="43"/>
    </row>
    <row r="153" spans="1:4" x14ac:dyDescent="0.2">
      <c r="A153" s="42"/>
      <c r="B153" s="49"/>
      <c r="C153" s="43"/>
      <c r="D153" s="43"/>
    </row>
    <row r="154" spans="1:4" x14ac:dyDescent="0.2">
      <c r="A154" s="42"/>
      <c r="B154" s="49"/>
      <c r="C154" s="43"/>
      <c r="D154" s="43"/>
    </row>
    <row r="155" spans="1:4" x14ac:dyDescent="0.2">
      <c r="A155" s="42"/>
      <c r="B155" s="49"/>
      <c r="C155" s="43"/>
      <c r="D155" s="43"/>
    </row>
    <row r="156" spans="1:4" x14ac:dyDescent="0.2">
      <c r="A156" s="42"/>
      <c r="B156" s="49"/>
      <c r="C156" s="43"/>
      <c r="D156" s="43"/>
    </row>
    <row r="157" spans="1:4" x14ac:dyDescent="0.2">
      <c r="A157" s="42"/>
      <c r="B157" s="49"/>
      <c r="C157" s="43"/>
      <c r="D157" s="43"/>
    </row>
    <row r="158" spans="1:4" x14ac:dyDescent="0.2">
      <c r="A158" s="42"/>
      <c r="B158" s="49"/>
      <c r="C158" s="43"/>
      <c r="D158" s="43"/>
    </row>
    <row r="159" spans="1:4" x14ac:dyDescent="0.2">
      <c r="A159" s="42"/>
      <c r="B159" s="49"/>
      <c r="C159" s="43"/>
      <c r="D159" s="43"/>
    </row>
    <row r="160" spans="1:4" x14ac:dyDescent="0.2">
      <c r="A160" s="42"/>
      <c r="B160" s="49"/>
      <c r="C160" s="43"/>
      <c r="D160" s="43"/>
    </row>
    <row r="161" spans="1:4" x14ac:dyDescent="0.2">
      <c r="A161" s="42"/>
      <c r="B161" s="49"/>
      <c r="C161" s="43"/>
      <c r="D161" s="43"/>
    </row>
    <row r="162" spans="1:4" x14ac:dyDescent="0.2">
      <c r="A162" s="42"/>
      <c r="B162" s="49"/>
      <c r="C162" s="43"/>
      <c r="D162" s="43"/>
    </row>
    <row r="163" spans="1:4" x14ac:dyDescent="0.2">
      <c r="A163" s="42"/>
      <c r="B163" s="49"/>
      <c r="C163" s="43"/>
      <c r="D163" s="43"/>
    </row>
    <row r="164" spans="1:4" x14ac:dyDescent="0.2">
      <c r="A164" s="42"/>
      <c r="B164" s="49"/>
      <c r="C164" s="43"/>
      <c r="D164" s="43"/>
    </row>
    <row r="165" spans="1:4" x14ac:dyDescent="0.2">
      <c r="A165" s="42"/>
      <c r="B165" s="49"/>
      <c r="C165" s="43"/>
      <c r="D165" s="43"/>
    </row>
    <row r="166" spans="1:4" x14ac:dyDescent="0.2">
      <c r="A166" s="42"/>
      <c r="B166" s="49"/>
      <c r="C166" s="43"/>
      <c r="D166" s="43"/>
    </row>
    <row r="167" spans="1:4" x14ac:dyDescent="0.2">
      <c r="A167" s="42"/>
      <c r="B167" s="49"/>
      <c r="C167" s="43"/>
      <c r="D167" s="43"/>
    </row>
    <row r="168" spans="1:4" x14ac:dyDescent="0.2">
      <c r="A168" s="42"/>
      <c r="B168" s="49"/>
      <c r="C168" s="43"/>
      <c r="D168" s="43"/>
    </row>
    <row r="169" spans="1:4" x14ac:dyDescent="0.2">
      <c r="A169" s="42"/>
      <c r="B169" s="49"/>
      <c r="C169" s="43"/>
      <c r="D169" s="43"/>
    </row>
    <row r="170" spans="1:4" x14ac:dyDescent="0.2">
      <c r="A170" s="42"/>
      <c r="B170" s="49"/>
      <c r="C170" s="43"/>
      <c r="D170" s="43"/>
    </row>
    <row r="171" spans="1:4" x14ac:dyDescent="0.2">
      <c r="A171" s="42"/>
      <c r="B171" s="49"/>
      <c r="C171" s="43"/>
      <c r="D171" s="43"/>
    </row>
    <row r="172" spans="1:4" x14ac:dyDescent="0.2">
      <c r="A172" s="42"/>
      <c r="B172" s="49"/>
      <c r="C172" s="43"/>
      <c r="D172" s="43"/>
    </row>
    <row r="173" spans="1:4" x14ac:dyDescent="0.2">
      <c r="A173" s="42"/>
      <c r="B173" s="49"/>
      <c r="C173" s="43"/>
      <c r="D173" s="43"/>
    </row>
    <row r="174" spans="1:4" x14ac:dyDescent="0.2">
      <c r="A174" s="42"/>
      <c r="B174" s="49"/>
      <c r="C174" s="43"/>
      <c r="D174" s="43"/>
    </row>
    <row r="175" spans="1:4" x14ac:dyDescent="0.2">
      <c r="A175" s="42"/>
      <c r="B175" s="49"/>
      <c r="C175" s="43"/>
      <c r="D175" s="43"/>
    </row>
    <row r="176" spans="1:4" x14ac:dyDescent="0.2">
      <c r="A176" s="42"/>
      <c r="B176" s="49"/>
      <c r="C176" s="43"/>
      <c r="D176" s="43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</sheetData>
  <sortState xmlns:xlrd2="http://schemas.microsoft.com/office/spreadsheetml/2017/richdata2" ref="A21:AF68">
    <sortCondition ref="C21:C68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0"/>
  <sheetViews>
    <sheetView workbookViewId="0">
      <selection activeCell="A17" sqref="A17:D49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29" t="s">
        <v>51</v>
      </c>
      <c r="I1" s="30" t="s">
        <v>52</v>
      </c>
      <c r="J1" s="31" t="s">
        <v>53</v>
      </c>
    </row>
    <row r="2" spans="1:16" x14ac:dyDescent="0.2">
      <c r="I2" s="32" t="s">
        <v>54</v>
      </c>
      <c r="J2" s="33" t="s">
        <v>55</v>
      </c>
    </row>
    <row r="3" spans="1:16" x14ac:dyDescent="0.2">
      <c r="A3" s="34" t="s">
        <v>56</v>
      </c>
      <c r="I3" s="32" t="s">
        <v>57</v>
      </c>
      <c r="J3" s="33" t="s">
        <v>58</v>
      </c>
    </row>
    <row r="4" spans="1:16" x14ac:dyDescent="0.2">
      <c r="I4" s="32" t="s">
        <v>59</v>
      </c>
      <c r="J4" s="33" t="s">
        <v>58</v>
      </c>
    </row>
    <row r="5" spans="1:16" ht="13.5" thickBot="1" x14ac:dyDescent="0.25">
      <c r="I5" s="35" t="s">
        <v>60</v>
      </c>
      <c r="J5" s="36" t="s">
        <v>61</v>
      </c>
    </row>
    <row r="10" spans="1:16" ht="13.5" thickBot="1" x14ac:dyDescent="0.25"/>
    <row r="11" spans="1:16" ht="12.75" customHeight="1" thickBot="1" x14ac:dyDescent="0.25">
      <c r="A11" s="9" t="str">
        <f t="shared" ref="A11:A49" si="0">P11</f>
        <v> ASS 67.213 </v>
      </c>
      <c r="B11" s="14" t="str">
        <f t="shared" ref="B11:B49" si="1">IF(H11=INT(H11),"I","II")</f>
        <v>I</v>
      </c>
      <c r="C11" s="9">
        <f t="shared" ref="C11:C49" si="2">1*G11</f>
        <v>42729.267999999996</v>
      </c>
      <c r="D11" s="11" t="str">
        <f t="shared" ref="D11:D49" si="3">VLOOKUP(F11,I$1:J$5,2,FALSE)</f>
        <v>vis</v>
      </c>
      <c r="E11" s="37">
        <f>VLOOKUP(C11,Active!C$21:E$973,3,FALSE)</f>
        <v>-4035.0092188069234</v>
      </c>
      <c r="F11" s="14" t="s">
        <v>60</v>
      </c>
      <c r="G11" s="11" t="str">
        <f t="shared" ref="G11:G49" si="4">MID(I11,3,LEN(I11)-3)</f>
        <v>42729.268</v>
      </c>
      <c r="H11" s="9">
        <f t="shared" ref="H11:H49" si="5">1*K11</f>
        <v>4456</v>
      </c>
      <c r="I11" s="38" t="s">
        <v>162</v>
      </c>
      <c r="J11" s="39" t="s">
        <v>163</v>
      </c>
      <c r="K11" s="38">
        <v>4456</v>
      </c>
      <c r="L11" s="38" t="s">
        <v>157</v>
      </c>
      <c r="M11" s="39" t="s">
        <v>158</v>
      </c>
      <c r="N11" s="39" t="s">
        <v>159</v>
      </c>
      <c r="O11" s="40" t="s">
        <v>160</v>
      </c>
      <c r="P11" s="40" t="s">
        <v>161</v>
      </c>
    </row>
    <row r="12" spans="1:16" ht="12.75" customHeight="1" thickBot="1" x14ac:dyDescent="0.25">
      <c r="A12" s="9" t="str">
        <f t="shared" si="0"/>
        <v> BBS 87 </v>
      </c>
      <c r="B12" s="14" t="str">
        <f t="shared" si="1"/>
        <v>I</v>
      </c>
      <c r="C12" s="9">
        <f t="shared" si="2"/>
        <v>47208.322</v>
      </c>
      <c r="D12" s="11" t="str">
        <f t="shared" si="3"/>
        <v>vis</v>
      </c>
      <c r="E12" s="37">
        <f>VLOOKUP(C12,Active!C$21:E$973,3,FALSE)</f>
        <v>-2478.0132150137238</v>
      </c>
      <c r="F12" s="14" t="s">
        <v>60</v>
      </c>
      <c r="G12" s="11" t="str">
        <f t="shared" si="4"/>
        <v>47208.322</v>
      </c>
      <c r="H12" s="9">
        <f t="shared" si="5"/>
        <v>6013</v>
      </c>
      <c r="I12" s="38" t="s">
        <v>164</v>
      </c>
      <c r="J12" s="39" t="s">
        <v>165</v>
      </c>
      <c r="K12" s="38">
        <v>6013</v>
      </c>
      <c r="L12" s="38" t="s">
        <v>166</v>
      </c>
      <c r="M12" s="39" t="s">
        <v>167</v>
      </c>
      <c r="N12" s="39"/>
      <c r="O12" s="40" t="s">
        <v>168</v>
      </c>
      <c r="P12" s="40" t="s">
        <v>169</v>
      </c>
    </row>
    <row r="13" spans="1:16" ht="12.75" customHeight="1" thickBot="1" x14ac:dyDescent="0.25">
      <c r="A13" s="9" t="str">
        <f t="shared" si="0"/>
        <v> BBS 91 </v>
      </c>
      <c r="B13" s="14" t="str">
        <f t="shared" si="1"/>
        <v>I</v>
      </c>
      <c r="C13" s="9">
        <f t="shared" si="2"/>
        <v>47536.300999999999</v>
      </c>
      <c r="D13" s="11" t="str">
        <f t="shared" si="3"/>
        <v>vis</v>
      </c>
      <c r="E13" s="37">
        <f>VLOOKUP(C13,Active!C$21:E$973,3,FALSE)</f>
        <v>-2364.0020884838609</v>
      </c>
      <c r="F13" s="14" t="s">
        <v>60</v>
      </c>
      <c r="G13" s="11" t="str">
        <f t="shared" si="4"/>
        <v>47536.301</v>
      </c>
      <c r="H13" s="9">
        <f t="shared" si="5"/>
        <v>6127</v>
      </c>
      <c r="I13" s="38" t="s">
        <v>170</v>
      </c>
      <c r="J13" s="39" t="s">
        <v>171</v>
      </c>
      <c r="K13" s="38">
        <v>6127</v>
      </c>
      <c r="L13" s="38" t="s">
        <v>148</v>
      </c>
      <c r="M13" s="39" t="s">
        <v>167</v>
      </c>
      <c r="N13" s="39"/>
      <c r="O13" s="40" t="s">
        <v>168</v>
      </c>
      <c r="P13" s="40" t="s">
        <v>172</v>
      </c>
    </row>
    <row r="14" spans="1:16" ht="12.75" customHeight="1" thickBot="1" x14ac:dyDescent="0.25">
      <c r="A14" s="9" t="str">
        <f t="shared" si="0"/>
        <v>BAVM 152 </v>
      </c>
      <c r="B14" s="14" t="str">
        <f t="shared" si="1"/>
        <v>I</v>
      </c>
      <c r="C14" s="9">
        <f t="shared" si="2"/>
        <v>51923.2552</v>
      </c>
      <c r="D14" s="11" t="str">
        <f t="shared" si="3"/>
        <v>vis</v>
      </c>
      <c r="E14" s="37">
        <f>VLOOKUP(C14,Active!C$21:E$973,3,FALSE)</f>
        <v>-839.02155504448115</v>
      </c>
      <c r="F14" s="14" t="s">
        <v>60</v>
      </c>
      <c r="G14" s="11" t="str">
        <f t="shared" si="4"/>
        <v>51923.2552</v>
      </c>
      <c r="H14" s="9">
        <f t="shared" si="5"/>
        <v>7652</v>
      </c>
      <c r="I14" s="38" t="s">
        <v>173</v>
      </c>
      <c r="J14" s="39" t="s">
        <v>174</v>
      </c>
      <c r="K14" s="38">
        <v>7652</v>
      </c>
      <c r="L14" s="38" t="s">
        <v>175</v>
      </c>
      <c r="M14" s="39" t="s">
        <v>158</v>
      </c>
      <c r="N14" s="39" t="s">
        <v>176</v>
      </c>
      <c r="O14" s="40" t="s">
        <v>177</v>
      </c>
      <c r="P14" s="41" t="s">
        <v>178</v>
      </c>
    </row>
    <row r="15" spans="1:16" ht="12.75" customHeight="1" thickBot="1" x14ac:dyDescent="0.25">
      <c r="A15" s="9" t="str">
        <f t="shared" si="0"/>
        <v>IBVS 5920 </v>
      </c>
      <c r="B15" s="14" t="str">
        <f t="shared" si="1"/>
        <v>I</v>
      </c>
      <c r="C15" s="9">
        <f t="shared" si="2"/>
        <v>55128.012999999999</v>
      </c>
      <c r="D15" s="11" t="str">
        <f t="shared" si="3"/>
        <v>vis</v>
      </c>
      <c r="E15" s="37">
        <f>VLOOKUP(C15,Active!C$21:E$973,3,FALSE)</f>
        <v>275.00723043680154</v>
      </c>
      <c r="F15" s="14" t="s">
        <v>60</v>
      </c>
      <c r="G15" s="11" t="str">
        <f t="shared" si="4"/>
        <v>55128.013</v>
      </c>
      <c r="H15" s="9">
        <f t="shared" si="5"/>
        <v>8766</v>
      </c>
      <c r="I15" s="38" t="s">
        <v>191</v>
      </c>
      <c r="J15" s="39" t="s">
        <v>192</v>
      </c>
      <c r="K15" s="38" t="s">
        <v>193</v>
      </c>
      <c r="L15" s="38" t="s">
        <v>194</v>
      </c>
      <c r="M15" s="39" t="s">
        <v>195</v>
      </c>
      <c r="N15" s="39" t="s">
        <v>60</v>
      </c>
      <c r="O15" s="40" t="s">
        <v>196</v>
      </c>
      <c r="P15" s="41" t="s">
        <v>197</v>
      </c>
    </row>
    <row r="16" spans="1:16" ht="12.75" customHeight="1" thickBot="1" x14ac:dyDescent="0.25">
      <c r="A16" s="9" t="str">
        <f t="shared" si="0"/>
        <v>IBVS 6011 </v>
      </c>
      <c r="B16" s="14" t="str">
        <f t="shared" si="1"/>
        <v>I</v>
      </c>
      <c r="C16" s="9">
        <f t="shared" si="2"/>
        <v>55855.867899999997</v>
      </c>
      <c r="D16" s="11" t="str">
        <f t="shared" si="3"/>
        <v>vis</v>
      </c>
      <c r="E16" s="37">
        <f>VLOOKUP(C16,Active!C$21:E$973,3,FALSE)</f>
        <v>528.0220792511484</v>
      </c>
      <c r="F16" s="14" t="s">
        <v>60</v>
      </c>
      <c r="G16" s="11" t="str">
        <f t="shared" si="4"/>
        <v>55855.8679</v>
      </c>
      <c r="H16" s="9">
        <f t="shared" si="5"/>
        <v>9019</v>
      </c>
      <c r="I16" s="38" t="s">
        <v>198</v>
      </c>
      <c r="J16" s="39" t="s">
        <v>199</v>
      </c>
      <c r="K16" s="38" t="s">
        <v>200</v>
      </c>
      <c r="L16" s="38" t="s">
        <v>201</v>
      </c>
      <c r="M16" s="39" t="s">
        <v>195</v>
      </c>
      <c r="N16" s="39" t="s">
        <v>60</v>
      </c>
      <c r="O16" s="40" t="s">
        <v>196</v>
      </c>
      <c r="P16" s="41" t="s">
        <v>202</v>
      </c>
    </row>
    <row r="17" spans="1:16" ht="12.75" customHeight="1" thickBot="1" x14ac:dyDescent="0.25">
      <c r="A17" s="9" t="str">
        <f t="shared" si="0"/>
        <v> VB 5.8 </v>
      </c>
      <c r="B17" s="14" t="str">
        <f t="shared" si="1"/>
        <v>I</v>
      </c>
      <c r="C17" s="9">
        <f t="shared" si="2"/>
        <v>25543.499</v>
      </c>
      <c r="D17" s="11" t="str">
        <f t="shared" si="3"/>
        <v>vis</v>
      </c>
      <c r="E17" s="37">
        <f>VLOOKUP(C17,Active!C$21:E$973,3,FALSE)</f>
        <v>-10009.077326740658</v>
      </c>
      <c r="F17" s="14" t="s">
        <v>60</v>
      </c>
      <c r="G17" s="11" t="str">
        <f t="shared" si="4"/>
        <v>25543.499</v>
      </c>
      <c r="H17" s="9">
        <f t="shared" si="5"/>
        <v>-1518</v>
      </c>
      <c r="I17" s="38" t="s">
        <v>62</v>
      </c>
      <c r="J17" s="39" t="s">
        <v>63</v>
      </c>
      <c r="K17" s="38">
        <v>-1518</v>
      </c>
      <c r="L17" s="38" t="s">
        <v>64</v>
      </c>
      <c r="M17" s="39" t="s">
        <v>65</v>
      </c>
      <c r="N17" s="39"/>
      <c r="O17" s="40" t="s">
        <v>66</v>
      </c>
      <c r="P17" s="40" t="s">
        <v>67</v>
      </c>
    </row>
    <row r="18" spans="1:16" ht="12.75" customHeight="1" thickBot="1" x14ac:dyDescent="0.25">
      <c r="A18" s="9" t="str">
        <f t="shared" si="0"/>
        <v> MVS 453 </v>
      </c>
      <c r="B18" s="14" t="str">
        <f t="shared" si="1"/>
        <v>I</v>
      </c>
      <c r="C18" s="9">
        <f t="shared" si="2"/>
        <v>25621.328000000001</v>
      </c>
      <c r="D18" s="11" t="str">
        <f t="shared" si="3"/>
        <v>vis</v>
      </c>
      <c r="E18" s="37">
        <f>VLOOKUP(C18,Active!C$21:E$973,3,FALSE)</f>
        <v>-9982.0226312671894</v>
      </c>
      <c r="F18" s="14" t="s">
        <v>60</v>
      </c>
      <c r="G18" s="11" t="str">
        <f t="shared" si="4"/>
        <v>25621.328</v>
      </c>
      <c r="H18" s="9">
        <f t="shared" si="5"/>
        <v>-1491</v>
      </c>
      <c r="I18" s="38" t="s">
        <v>68</v>
      </c>
      <c r="J18" s="39" t="s">
        <v>69</v>
      </c>
      <c r="K18" s="38">
        <v>-1491</v>
      </c>
      <c r="L18" s="38" t="s">
        <v>70</v>
      </c>
      <c r="M18" s="39" t="s">
        <v>65</v>
      </c>
      <c r="N18" s="39"/>
      <c r="O18" s="40" t="s">
        <v>71</v>
      </c>
      <c r="P18" s="40" t="s">
        <v>72</v>
      </c>
    </row>
    <row r="19" spans="1:16" ht="12.75" customHeight="1" thickBot="1" x14ac:dyDescent="0.25">
      <c r="A19" s="9" t="str">
        <f t="shared" si="0"/>
        <v> MVS 453 </v>
      </c>
      <c r="B19" s="14" t="str">
        <f t="shared" si="1"/>
        <v>I</v>
      </c>
      <c r="C19" s="9">
        <f t="shared" si="2"/>
        <v>27341.61</v>
      </c>
      <c r="D19" s="11" t="str">
        <f t="shared" si="3"/>
        <v>vis</v>
      </c>
      <c r="E19" s="37">
        <f>VLOOKUP(C19,Active!C$21:E$973,3,FALSE)</f>
        <v>-9384.0230984646441</v>
      </c>
      <c r="F19" s="14" t="s">
        <v>60</v>
      </c>
      <c r="G19" s="11" t="str">
        <f t="shared" si="4"/>
        <v>27341.610</v>
      </c>
      <c r="H19" s="9">
        <f t="shared" si="5"/>
        <v>-893</v>
      </c>
      <c r="I19" s="38" t="s">
        <v>73</v>
      </c>
      <c r="J19" s="39" t="s">
        <v>74</v>
      </c>
      <c r="K19" s="38">
        <v>-893</v>
      </c>
      <c r="L19" s="38" t="s">
        <v>75</v>
      </c>
      <c r="M19" s="39" t="s">
        <v>65</v>
      </c>
      <c r="N19" s="39"/>
      <c r="O19" s="40" t="s">
        <v>71</v>
      </c>
      <c r="P19" s="40" t="s">
        <v>72</v>
      </c>
    </row>
    <row r="20" spans="1:16" ht="12.75" customHeight="1" thickBot="1" x14ac:dyDescent="0.25">
      <c r="A20" s="9" t="str">
        <f t="shared" si="0"/>
        <v> VB 5.8 </v>
      </c>
      <c r="B20" s="14" t="str">
        <f t="shared" si="1"/>
        <v>I</v>
      </c>
      <c r="C20" s="9">
        <f t="shared" si="2"/>
        <v>27416.383000000002</v>
      </c>
      <c r="D20" s="11" t="str">
        <f t="shared" si="3"/>
        <v>vis</v>
      </c>
      <c r="E20" s="37">
        <f>VLOOKUP(C20,Active!C$21:E$973,3,FALSE)</f>
        <v>-9358.0307210135961</v>
      </c>
      <c r="F20" s="14" t="s">
        <v>60</v>
      </c>
      <c r="G20" s="11" t="str">
        <f t="shared" si="4"/>
        <v>27416.383</v>
      </c>
      <c r="H20" s="9">
        <f t="shared" si="5"/>
        <v>-867</v>
      </c>
      <c r="I20" s="38" t="s">
        <v>76</v>
      </c>
      <c r="J20" s="39" t="s">
        <v>77</v>
      </c>
      <c r="K20" s="38">
        <v>-867</v>
      </c>
      <c r="L20" s="38" t="s">
        <v>78</v>
      </c>
      <c r="M20" s="39" t="s">
        <v>65</v>
      </c>
      <c r="N20" s="39"/>
      <c r="O20" s="40" t="s">
        <v>66</v>
      </c>
      <c r="P20" s="40" t="s">
        <v>67</v>
      </c>
    </row>
    <row r="21" spans="1:16" ht="12.75" customHeight="1" thickBot="1" x14ac:dyDescent="0.25">
      <c r="A21" s="9" t="str">
        <f t="shared" si="0"/>
        <v> VB 5.8 </v>
      </c>
      <c r="B21" s="14" t="str">
        <f t="shared" si="1"/>
        <v>I</v>
      </c>
      <c r="C21" s="9">
        <f t="shared" si="2"/>
        <v>27416.403999999999</v>
      </c>
      <c r="D21" s="11" t="str">
        <f t="shared" si="3"/>
        <v>vis</v>
      </c>
      <c r="E21" s="37">
        <f>VLOOKUP(C21,Active!C$21:E$973,3,FALSE)</f>
        <v>-9358.0234210533636</v>
      </c>
      <c r="F21" s="14" t="s">
        <v>60</v>
      </c>
      <c r="G21" s="11" t="str">
        <f t="shared" si="4"/>
        <v>27416.404</v>
      </c>
      <c r="H21" s="9">
        <f t="shared" si="5"/>
        <v>-867</v>
      </c>
      <c r="I21" s="38" t="s">
        <v>79</v>
      </c>
      <c r="J21" s="39" t="s">
        <v>80</v>
      </c>
      <c r="K21" s="38">
        <v>-867</v>
      </c>
      <c r="L21" s="38" t="s">
        <v>81</v>
      </c>
      <c r="M21" s="39" t="s">
        <v>65</v>
      </c>
      <c r="N21" s="39"/>
      <c r="O21" s="40" t="s">
        <v>66</v>
      </c>
      <c r="P21" s="40" t="s">
        <v>67</v>
      </c>
    </row>
    <row r="22" spans="1:16" ht="12.75" customHeight="1" thickBot="1" x14ac:dyDescent="0.25">
      <c r="A22" s="9" t="str">
        <f t="shared" si="0"/>
        <v> MVS 453 </v>
      </c>
      <c r="B22" s="14" t="str">
        <f t="shared" si="1"/>
        <v>I</v>
      </c>
      <c r="C22" s="9">
        <f t="shared" si="2"/>
        <v>29910.583999999999</v>
      </c>
      <c r="D22" s="11" t="str">
        <f t="shared" si="3"/>
        <v>vis</v>
      </c>
      <c r="E22" s="37">
        <f>VLOOKUP(C22,Active!C$21:E$973,3,FALSE)</f>
        <v>-8491.003668056208</v>
      </c>
      <c r="F22" s="14" t="s">
        <v>60</v>
      </c>
      <c r="G22" s="11" t="str">
        <f t="shared" si="4"/>
        <v>29910.584</v>
      </c>
      <c r="H22" s="9">
        <f t="shared" si="5"/>
        <v>0</v>
      </c>
      <c r="I22" s="38" t="s">
        <v>82</v>
      </c>
      <c r="J22" s="39" t="s">
        <v>83</v>
      </c>
      <c r="K22" s="38">
        <v>0</v>
      </c>
      <c r="L22" s="38" t="s">
        <v>84</v>
      </c>
      <c r="M22" s="39" t="s">
        <v>65</v>
      </c>
      <c r="N22" s="39"/>
      <c r="O22" s="40" t="s">
        <v>71</v>
      </c>
      <c r="P22" s="40" t="s">
        <v>72</v>
      </c>
    </row>
    <row r="23" spans="1:16" ht="12.75" customHeight="1" thickBot="1" x14ac:dyDescent="0.25">
      <c r="A23" s="9" t="str">
        <f t="shared" si="0"/>
        <v> AC 194.26 </v>
      </c>
      <c r="B23" s="14" t="str">
        <f t="shared" si="1"/>
        <v>I</v>
      </c>
      <c r="C23" s="9">
        <f t="shared" si="2"/>
        <v>29913.371999999999</v>
      </c>
      <c r="D23" s="11" t="str">
        <f t="shared" si="3"/>
        <v>vis</v>
      </c>
      <c r="E23" s="37">
        <f>VLOOKUP(C23,Active!C$21:E$973,3,FALSE)</f>
        <v>-8490.0345114310421</v>
      </c>
      <c r="F23" s="14" t="s">
        <v>60</v>
      </c>
      <c r="G23" s="11" t="str">
        <f t="shared" si="4"/>
        <v>29913.372</v>
      </c>
      <c r="H23" s="9">
        <f t="shared" si="5"/>
        <v>1</v>
      </c>
      <c r="I23" s="38" t="s">
        <v>85</v>
      </c>
      <c r="J23" s="39" t="s">
        <v>86</v>
      </c>
      <c r="K23" s="38">
        <v>1</v>
      </c>
      <c r="L23" s="38" t="s">
        <v>87</v>
      </c>
      <c r="M23" s="39" t="s">
        <v>65</v>
      </c>
      <c r="N23" s="39"/>
      <c r="O23" s="40" t="s">
        <v>88</v>
      </c>
      <c r="P23" s="40" t="s">
        <v>89</v>
      </c>
    </row>
    <row r="24" spans="1:16" ht="12.75" customHeight="1" thickBot="1" x14ac:dyDescent="0.25">
      <c r="A24" s="9" t="str">
        <f t="shared" si="0"/>
        <v> MVS 453 </v>
      </c>
      <c r="B24" s="14" t="str">
        <f t="shared" si="1"/>
        <v>I</v>
      </c>
      <c r="C24" s="9">
        <f t="shared" si="2"/>
        <v>30258.589</v>
      </c>
      <c r="D24" s="11" t="str">
        <f t="shared" si="3"/>
        <v>vis</v>
      </c>
      <c r="E24" s="37">
        <f>VLOOKUP(C24,Active!C$21:E$973,3,FALSE)</f>
        <v>-8370.0311604016788</v>
      </c>
      <c r="F24" s="14" t="s">
        <v>60</v>
      </c>
      <c r="G24" s="11" t="str">
        <f t="shared" si="4"/>
        <v>30258.589</v>
      </c>
      <c r="H24" s="9">
        <f t="shared" si="5"/>
        <v>121</v>
      </c>
      <c r="I24" s="38" t="s">
        <v>90</v>
      </c>
      <c r="J24" s="39" t="s">
        <v>91</v>
      </c>
      <c r="K24" s="38">
        <v>121</v>
      </c>
      <c r="L24" s="38" t="s">
        <v>92</v>
      </c>
      <c r="M24" s="39" t="s">
        <v>65</v>
      </c>
      <c r="N24" s="39"/>
      <c r="O24" s="40" t="s">
        <v>71</v>
      </c>
      <c r="P24" s="40" t="s">
        <v>72</v>
      </c>
    </row>
    <row r="25" spans="1:16" ht="12.75" customHeight="1" thickBot="1" x14ac:dyDescent="0.25">
      <c r="A25" s="9" t="str">
        <f t="shared" si="0"/>
        <v> MVS 453 </v>
      </c>
      <c r="B25" s="14" t="str">
        <f t="shared" si="1"/>
        <v>I</v>
      </c>
      <c r="C25" s="9">
        <f t="shared" si="2"/>
        <v>30612.559000000001</v>
      </c>
      <c r="D25" s="11" t="str">
        <f t="shared" si="3"/>
        <v>vis</v>
      </c>
      <c r="E25" s="37">
        <f>VLOOKUP(C25,Active!C$21:E$973,3,FALSE)</f>
        <v>-8246.9851164239371</v>
      </c>
      <c r="F25" s="14" t="s">
        <v>60</v>
      </c>
      <c r="G25" s="11" t="str">
        <f t="shared" si="4"/>
        <v>30612.559</v>
      </c>
      <c r="H25" s="9">
        <f t="shared" si="5"/>
        <v>244</v>
      </c>
      <c r="I25" s="38" t="s">
        <v>93</v>
      </c>
      <c r="J25" s="39" t="s">
        <v>94</v>
      </c>
      <c r="K25" s="38">
        <v>244</v>
      </c>
      <c r="L25" s="38" t="s">
        <v>95</v>
      </c>
      <c r="M25" s="39" t="s">
        <v>65</v>
      </c>
      <c r="N25" s="39"/>
      <c r="O25" s="40" t="s">
        <v>71</v>
      </c>
      <c r="P25" s="40" t="s">
        <v>72</v>
      </c>
    </row>
    <row r="26" spans="1:16" ht="12.75" customHeight="1" thickBot="1" x14ac:dyDescent="0.25">
      <c r="A26" s="9" t="str">
        <f t="shared" si="0"/>
        <v> MVS 453 </v>
      </c>
      <c r="B26" s="14" t="str">
        <f t="shared" si="1"/>
        <v>I</v>
      </c>
      <c r="C26" s="9">
        <f t="shared" si="2"/>
        <v>30704.496999999999</v>
      </c>
      <c r="D26" s="11" t="str">
        <f t="shared" si="3"/>
        <v>vis</v>
      </c>
      <c r="E26" s="37">
        <f>VLOOKUP(C26,Active!C$21:E$973,3,FALSE)</f>
        <v>-8215.0258905256251</v>
      </c>
      <c r="F26" s="14" t="s">
        <v>60</v>
      </c>
      <c r="G26" s="11" t="str">
        <f t="shared" si="4"/>
        <v>30704.497</v>
      </c>
      <c r="H26" s="9">
        <f t="shared" si="5"/>
        <v>276</v>
      </c>
      <c r="I26" s="38" t="s">
        <v>96</v>
      </c>
      <c r="J26" s="39" t="s">
        <v>97</v>
      </c>
      <c r="K26" s="38">
        <v>276</v>
      </c>
      <c r="L26" s="38" t="s">
        <v>98</v>
      </c>
      <c r="M26" s="39" t="s">
        <v>65</v>
      </c>
      <c r="N26" s="39"/>
      <c r="O26" s="40" t="s">
        <v>71</v>
      </c>
      <c r="P26" s="40" t="s">
        <v>72</v>
      </c>
    </row>
    <row r="27" spans="1:16" ht="12.75" customHeight="1" thickBot="1" x14ac:dyDescent="0.25">
      <c r="A27" s="9" t="str">
        <f t="shared" si="0"/>
        <v> AC 194.26 </v>
      </c>
      <c r="B27" s="14" t="str">
        <f t="shared" si="1"/>
        <v>I</v>
      </c>
      <c r="C27" s="9">
        <f t="shared" si="2"/>
        <v>31061.276999999998</v>
      </c>
      <c r="D27" s="11" t="str">
        <f t="shared" si="3"/>
        <v>vis</v>
      </c>
      <c r="E27" s="37">
        <f>VLOOKUP(C27,Active!C$21:E$973,3,FALSE)</f>
        <v>-8091.0030423453318</v>
      </c>
      <c r="F27" s="14" t="s">
        <v>60</v>
      </c>
      <c r="G27" s="11" t="str">
        <f t="shared" si="4"/>
        <v>31061.277</v>
      </c>
      <c r="H27" s="9">
        <f t="shared" si="5"/>
        <v>400</v>
      </c>
      <c r="I27" s="38" t="s">
        <v>99</v>
      </c>
      <c r="J27" s="39" t="s">
        <v>100</v>
      </c>
      <c r="K27" s="38">
        <v>400</v>
      </c>
      <c r="L27" s="38" t="s">
        <v>101</v>
      </c>
      <c r="M27" s="39" t="s">
        <v>65</v>
      </c>
      <c r="N27" s="39"/>
      <c r="O27" s="40" t="s">
        <v>88</v>
      </c>
      <c r="P27" s="40" t="s">
        <v>89</v>
      </c>
    </row>
    <row r="28" spans="1:16" ht="12.75" customHeight="1" thickBot="1" x14ac:dyDescent="0.25">
      <c r="A28" s="9" t="str">
        <f t="shared" si="0"/>
        <v> AC 194.26 </v>
      </c>
      <c r="B28" s="14" t="str">
        <f t="shared" si="1"/>
        <v>I</v>
      </c>
      <c r="C28" s="9">
        <f t="shared" si="2"/>
        <v>32888.154999999999</v>
      </c>
      <c r="D28" s="11" t="str">
        <f t="shared" si="3"/>
        <v>vis</v>
      </c>
      <c r="E28" s="37">
        <f>VLOOKUP(C28,Active!C$21:E$973,3,FALSE)</f>
        <v>-7455.9489114021208</v>
      </c>
      <c r="F28" s="14" t="s">
        <v>60</v>
      </c>
      <c r="G28" s="11" t="str">
        <f t="shared" si="4"/>
        <v>32888.155</v>
      </c>
      <c r="H28" s="9">
        <f t="shared" si="5"/>
        <v>1035</v>
      </c>
      <c r="I28" s="38" t="s">
        <v>102</v>
      </c>
      <c r="J28" s="39" t="s">
        <v>103</v>
      </c>
      <c r="K28" s="38">
        <v>1035</v>
      </c>
      <c r="L28" s="38" t="s">
        <v>104</v>
      </c>
      <c r="M28" s="39" t="s">
        <v>65</v>
      </c>
      <c r="N28" s="39"/>
      <c r="O28" s="40" t="s">
        <v>88</v>
      </c>
      <c r="P28" s="40" t="s">
        <v>89</v>
      </c>
    </row>
    <row r="29" spans="1:16" ht="12.75" customHeight="1" thickBot="1" x14ac:dyDescent="0.25">
      <c r="A29" s="9" t="str">
        <f t="shared" si="0"/>
        <v> AC 194.26 </v>
      </c>
      <c r="B29" s="14" t="str">
        <f t="shared" si="1"/>
        <v>I</v>
      </c>
      <c r="C29" s="9">
        <f t="shared" si="2"/>
        <v>33181.442000000003</v>
      </c>
      <c r="D29" s="11" t="str">
        <f t="shared" si="3"/>
        <v>vis</v>
      </c>
      <c r="E29" s="37">
        <f>VLOOKUP(C29,Active!C$21:E$973,3,FALSE)</f>
        <v>-7353.9973191765084</v>
      </c>
      <c r="F29" s="14" t="s">
        <v>60</v>
      </c>
      <c r="G29" s="11" t="str">
        <f t="shared" si="4"/>
        <v>33181.442</v>
      </c>
      <c r="H29" s="9">
        <f t="shared" si="5"/>
        <v>1137</v>
      </c>
      <c r="I29" s="38" t="s">
        <v>105</v>
      </c>
      <c r="J29" s="39" t="s">
        <v>106</v>
      </c>
      <c r="K29" s="38">
        <v>1137</v>
      </c>
      <c r="L29" s="38" t="s">
        <v>107</v>
      </c>
      <c r="M29" s="39" t="s">
        <v>65</v>
      </c>
      <c r="N29" s="39"/>
      <c r="O29" s="40" t="s">
        <v>88</v>
      </c>
      <c r="P29" s="40" t="s">
        <v>89</v>
      </c>
    </row>
    <row r="30" spans="1:16" ht="12.75" customHeight="1" thickBot="1" x14ac:dyDescent="0.25">
      <c r="A30" s="9" t="str">
        <f t="shared" si="0"/>
        <v> AC 194.26 </v>
      </c>
      <c r="B30" s="14" t="str">
        <f t="shared" si="1"/>
        <v>I</v>
      </c>
      <c r="C30" s="9">
        <f t="shared" si="2"/>
        <v>33184.449000000001</v>
      </c>
      <c r="D30" s="11" t="str">
        <f t="shared" si="3"/>
        <v>vis</v>
      </c>
      <c r="E30" s="37">
        <f>VLOOKUP(C30,Active!C$21:E$973,3,FALSE)</f>
        <v>-7352.9520343946315</v>
      </c>
      <c r="F30" s="14" t="s">
        <v>60</v>
      </c>
      <c r="G30" s="11" t="str">
        <f t="shared" si="4"/>
        <v>33184.449</v>
      </c>
      <c r="H30" s="9">
        <f t="shared" si="5"/>
        <v>1138</v>
      </c>
      <c r="I30" s="38" t="s">
        <v>108</v>
      </c>
      <c r="J30" s="39" t="s">
        <v>109</v>
      </c>
      <c r="K30" s="38">
        <v>1138</v>
      </c>
      <c r="L30" s="38" t="s">
        <v>110</v>
      </c>
      <c r="M30" s="39" t="s">
        <v>65</v>
      </c>
      <c r="N30" s="39"/>
      <c r="O30" s="40" t="s">
        <v>88</v>
      </c>
      <c r="P30" s="40" t="s">
        <v>89</v>
      </c>
    </row>
    <row r="31" spans="1:16" ht="12.75" customHeight="1" thickBot="1" x14ac:dyDescent="0.25">
      <c r="A31" s="9" t="str">
        <f t="shared" si="0"/>
        <v> MVS 453 </v>
      </c>
      <c r="B31" s="14" t="str">
        <f t="shared" si="1"/>
        <v>I</v>
      </c>
      <c r="C31" s="9">
        <f t="shared" si="2"/>
        <v>33184.495000000003</v>
      </c>
      <c r="D31" s="11" t="str">
        <f t="shared" si="3"/>
        <v>vis</v>
      </c>
      <c r="E31" s="37">
        <f>VLOOKUP(C31,Active!C$21:E$973,3,FALSE)</f>
        <v>-7352.9360440055498</v>
      </c>
      <c r="F31" s="14" t="s">
        <v>60</v>
      </c>
      <c r="G31" s="11" t="str">
        <f t="shared" si="4"/>
        <v>33184.495</v>
      </c>
      <c r="H31" s="9">
        <f t="shared" si="5"/>
        <v>1138</v>
      </c>
      <c r="I31" s="38" t="s">
        <v>111</v>
      </c>
      <c r="J31" s="39" t="s">
        <v>112</v>
      </c>
      <c r="K31" s="38">
        <v>1138</v>
      </c>
      <c r="L31" s="38" t="s">
        <v>113</v>
      </c>
      <c r="M31" s="39" t="s">
        <v>65</v>
      </c>
      <c r="N31" s="39"/>
      <c r="O31" s="40" t="s">
        <v>71</v>
      </c>
      <c r="P31" s="40" t="s">
        <v>72</v>
      </c>
    </row>
    <row r="32" spans="1:16" ht="12.75" customHeight="1" thickBot="1" x14ac:dyDescent="0.25">
      <c r="A32" s="9" t="str">
        <f t="shared" si="0"/>
        <v> AC 194.26 </v>
      </c>
      <c r="B32" s="14" t="str">
        <f t="shared" si="1"/>
        <v>I</v>
      </c>
      <c r="C32" s="9">
        <f t="shared" si="2"/>
        <v>33604.385000000002</v>
      </c>
      <c r="D32" s="11" t="str">
        <f t="shared" si="3"/>
        <v>vis</v>
      </c>
      <c r="E32" s="37">
        <f>VLOOKUP(C32,Active!C$21:E$973,3,FALSE)</f>
        <v>-7206.9750772405314</v>
      </c>
      <c r="F32" s="14" t="s">
        <v>60</v>
      </c>
      <c r="G32" s="11" t="str">
        <f t="shared" si="4"/>
        <v>33604.385</v>
      </c>
      <c r="H32" s="9">
        <f t="shared" si="5"/>
        <v>1284</v>
      </c>
      <c r="I32" s="38" t="s">
        <v>114</v>
      </c>
      <c r="J32" s="39" t="s">
        <v>115</v>
      </c>
      <c r="K32" s="38">
        <v>1284</v>
      </c>
      <c r="L32" s="38" t="s">
        <v>116</v>
      </c>
      <c r="M32" s="39" t="s">
        <v>65</v>
      </c>
      <c r="N32" s="39"/>
      <c r="O32" s="40" t="s">
        <v>88</v>
      </c>
      <c r="P32" s="40" t="s">
        <v>89</v>
      </c>
    </row>
    <row r="33" spans="1:16" ht="12.75" customHeight="1" thickBot="1" x14ac:dyDescent="0.25">
      <c r="A33" s="9" t="str">
        <f t="shared" si="0"/>
        <v> AC 194.26 </v>
      </c>
      <c r="B33" s="14" t="str">
        <f t="shared" si="1"/>
        <v>I</v>
      </c>
      <c r="C33" s="9">
        <f t="shared" si="2"/>
        <v>33630.228000000003</v>
      </c>
      <c r="D33" s="11" t="str">
        <f t="shared" si="3"/>
        <v>vis</v>
      </c>
      <c r="E33" s="37">
        <f>VLOOKUP(C33,Active!C$21:E$973,3,FALSE)</f>
        <v>-7197.9916071314346</v>
      </c>
      <c r="F33" s="14" t="s">
        <v>60</v>
      </c>
      <c r="G33" s="11" t="str">
        <f t="shared" si="4"/>
        <v>33630.228</v>
      </c>
      <c r="H33" s="9">
        <f t="shared" si="5"/>
        <v>1293</v>
      </c>
      <c r="I33" s="38" t="s">
        <v>117</v>
      </c>
      <c r="J33" s="39" t="s">
        <v>118</v>
      </c>
      <c r="K33" s="38">
        <v>1293</v>
      </c>
      <c r="L33" s="38" t="s">
        <v>119</v>
      </c>
      <c r="M33" s="39" t="s">
        <v>65</v>
      </c>
      <c r="N33" s="39"/>
      <c r="O33" s="40" t="s">
        <v>88</v>
      </c>
      <c r="P33" s="40" t="s">
        <v>89</v>
      </c>
    </row>
    <row r="34" spans="1:16" ht="12.75" customHeight="1" thickBot="1" x14ac:dyDescent="0.25">
      <c r="A34" s="9" t="str">
        <f t="shared" si="0"/>
        <v> MVS 453 </v>
      </c>
      <c r="B34" s="14" t="str">
        <f t="shared" si="1"/>
        <v>I</v>
      </c>
      <c r="C34" s="9">
        <f t="shared" si="2"/>
        <v>33653.392999999996</v>
      </c>
      <c r="D34" s="11" t="str">
        <f t="shared" si="3"/>
        <v>vis</v>
      </c>
      <c r="E34" s="37">
        <f>VLOOKUP(C34,Active!C$21:E$973,3,FALSE)</f>
        <v>-7189.9390557605739</v>
      </c>
      <c r="F34" s="14" t="s">
        <v>60</v>
      </c>
      <c r="G34" s="11" t="str">
        <f t="shared" si="4"/>
        <v>33653.393</v>
      </c>
      <c r="H34" s="9">
        <f t="shared" si="5"/>
        <v>1301</v>
      </c>
      <c r="I34" s="38" t="s">
        <v>120</v>
      </c>
      <c r="J34" s="39" t="s">
        <v>121</v>
      </c>
      <c r="K34" s="38">
        <v>1301</v>
      </c>
      <c r="L34" s="38" t="s">
        <v>122</v>
      </c>
      <c r="M34" s="39" t="s">
        <v>65</v>
      </c>
      <c r="N34" s="39"/>
      <c r="O34" s="40" t="s">
        <v>71</v>
      </c>
      <c r="P34" s="40" t="s">
        <v>72</v>
      </c>
    </row>
    <row r="35" spans="1:16" ht="12.75" customHeight="1" thickBot="1" x14ac:dyDescent="0.25">
      <c r="A35" s="9" t="str">
        <f t="shared" si="0"/>
        <v> MVS 453 </v>
      </c>
      <c r="B35" s="14" t="str">
        <f t="shared" si="1"/>
        <v>I</v>
      </c>
      <c r="C35" s="9">
        <f t="shared" si="2"/>
        <v>33926.563999999998</v>
      </c>
      <c r="D35" s="11" t="str">
        <f t="shared" si="3"/>
        <v>vis</v>
      </c>
      <c r="E35" s="37">
        <f>VLOOKUP(C35,Active!C$21:E$973,3,FALSE)</f>
        <v>-7094.9801302034821</v>
      </c>
      <c r="F35" s="14" t="s">
        <v>60</v>
      </c>
      <c r="G35" s="11" t="str">
        <f t="shared" si="4"/>
        <v>33926.564</v>
      </c>
      <c r="H35" s="9">
        <f t="shared" si="5"/>
        <v>1396</v>
      </c>
      <c r="I35" s="38" t="s">
        <v>123</v>
      </c>
      <c r="J35" s="39" t="s">
        <v>124</v>
      </c>
      <c r="K35" s="38">
        <v>1396</v>
      </c>
      <c r="L35" s="38" t="s">
        <v>125</v>
      </c>
      <c r="M35" s="39" t="s">
        <v>65</v>
      </c>
      <c r="N35" s="39"/>
      <c r="O35" s="40" t="s">
        <v>71</v>
      </c>
      <c r="P35" s="40" t="s">
        <v>72</v>
      </c>
    </row>
    <row r="36" spans="1:16" ht="12.75" customHeight="1" thickBot="1" x14ac:dyDescent="0.25">
      <c r="A36" s="9" t="str">
        <f t="shared" si="0"/>
        <v> MVS 453 </v>
      </c>
      <c r="B36" s="14" t="str">
        <f t="shared" si="1"/>
        <v>I</v>
      </c>
      <c r="C36" s="9">
        <f t="shared" si="2"/>
        <v>34395.366000000002</v>
      </c>
      <c r="D36" s="11" t="str">
        <f t="shared" si="3"/>
        <v>vis</v>
      </c>
      <c r="E36" s="37">
        <f>VLOOKUP(C36,Active!C$21:E$973,3,FALSE)</f>
        <v>-6932.0165132052798</v>
      </c>
      <c r="F36" s="14" t="s">
        <v>60</v>
      </c>
      <c r="G36" s="11" t="str">
        <f t="shared" si="4"/>
        <v>34395.366</v>
      </c>
      <c r="H36" s="9">
        <f t="shared" si="5"/>
        <v>1559</v>
      </c>
      <c r="I36" s="38" t="s">
        <v>126</v>
      </c>
      <c r="J36" s="39" t="s">
        <v>127</v>
      </c>
      <c r="K36" s="38">
        <v>1559</v>
      </c>
      <c r="L36" s="38" t="s">
        <v>128</v>
      </c>
      <c r="M36" s="39" t="s">
        <v>65</v>
      </c>
      <c r="N36" s="39"/>
      <c r="O36" s="40" t="s">
        <v>71</v>
      </c>
      <c r="P36" s="40" t="s">
        <v>72</v>
      </c>
    </row>
    <row r="37" spans="1:16" ht="12.75" customHeight="1" thickBot="1" x14ac:dyDescent="0.25">
      <c r="A37" s="9" t="str">
        <f t="shared" si="0"/>
        <v> MVS 453 </v>
      </c>
      <c r="B37" s="14" t="str">
        <f t="shared" si="1"/>
        <v>I</v>
      </c>
      <c r="C37" s="9">
        <f t="shared" si="2"/>
        <v>34628.535000000003</v>
      </c>
      <c r="D37" s="11" t="str">
        <f t="shared" si="3"/>
        <v>vis</v>
      </c>
      <c r="E37" s="37">
        <f>VLOOKUP(C37,Active!C$21:E$973,3,FALSE)</f>
        <v>-6850.9629690398242</v>
      </c>
      <c r="F37" s="14" t="s">
        <v>60</v>
      </c>
      <c r="G37" s="11" t="str">
        <f t="shared" si="4"/>
        <v>34628.535</v>
      </c>
      <c r="H37" s="9">
        <f t="shared" si="5"/>
        <v>1640</v>
      </c>
      <c r="I37" s="38" t="s">
        <v>129</v>
      </c>
      <c r="J37" s="39" t="s">
        <v>130</v>
      </c>
      <c r="K37" s="38">
        <v>1640</v>
      </c>
      <c r="L37" s="38" t="s">
        <v>131</v>
      </c>
      <c r="M37" s="39" t="s">
        <v>65</v>
      </c>
      <c r="N37" s="39"/>
      <c r="O37" s="40" t="s">
        <v>71</v>
      </c>
      <c r="P37" s="40" t="s">
        <v>72</v>
      </c>
    </row>
    <row r="38" spans="1:16" ht="12.75" customHeight="1" thickBot="1" x14ac:dyDescent="0.25">
      <c r="A38" s="9" t="str">
        <f t="shared" si="0"/>
        <v> AC 194.26 </v>
      </c>
      <c r="B38" s="14" t="str">
        <f t="shared" si="1"/>
        <v>I</v>
      </c>
      <c r="C38" s="9">
        <f t="shared" si="2"/>
        <v>34778.133999999998</v>
      </c>
      <c r="D38" s="11" t="str">
        <f t="shared" si="3"/>
        <v>vis</v>
      </c>
      <c r="E38" s="37">
        <f>VLOOKUP(C38,Active!C$21:E$973,3,FALSE)</f>
        <v>-6798.9597904285711</v>
      </c>
      <c r="F38" s="14" t="s">
        <v>60</v>
      </c>
      <c r="G38" s="11" t="str">
        <f t="shared" si="4"/>
        <v>34778.134</v>
      </c>
      <c r="H38" s="9">
        <f t="shared" si="5"/>
        <v>1692</v>
      </c>
      <c r="I38" s="38" t="s">
        <v>132</v>
      </c>
      <c r="J38" s="39" t="s">
        <v>133</v>
      </c>
      <c r="K38" s="38">
        <v>1692</v>
      </c>
      <c r="L38" s="38" t="s">
        <v>134</v>
      </c>
      <c r="M38" s="39" t="s">
        <v>65</v>
      </c>
      <c r="N38" s="39"/>
      <c r="O38" s="40" t="s">
        <v>88</v>
      </c>
      <c r="P38" s="40" t="s">
        <v>89</v>
      </c>
    </row>
    <row r="39" spans="1:16" ht="12.75" customHeight="1" thickBot="1" x14ac:dyDescent="0.25">
      <c r="A39" s="9" t="str">
        <f t="shared" si="0"/>
        <v> AC 194.26 </v>
      </c>
      <c r="B39" s="14" t="str">
        <f t="shared" si="1"/>
        <v>I</v>
      </c>
      <c r="C39" s="9">
        <f t="shared" si="2"/>
        <v>35100.194000000003</v>
      </c>
      <c r="D39" s="11" t="str">
        <f t="shared" si="3"/>
        <v>vis</v>
      </c>
      <c r="E39" s="37">
        <f>VLOOKUP(C39,Active!C$21:E$973,3,FALSE)</f>
        <v>-6687.0062098328372</v>
      </c>
      <c r="F39" s="14" t="s">
        <v>60</v>
      </c>
      <c r="G39" s="11" t="str">
        <f t="shared" si="4"/>
        <v>35100.194</v>
      </c>
      <c r="H39" s="9">
        <f t="shared" si="5"/>
        <v>1804</v>
      </c>
      <c r="I39" s="38" t="s">
        <v>135</v>
      </c>
      <c r="J39" s="39" t="s">
        <v>136</v>
      </c>
      <c r="K39" s="38">
        <v>1804</v>
      </c>
      <c r="L39" s="38" t="s">
        <v>137</v>
      </c>
      <c r="M39" s="39" t="s">
        <v>65</v>
      </c>
      <c r="N39" s="39"/>
      <c r="O39" s="40" t="s">
        <v>88</v>
      </c>
      <c r="P39" s="40" t="s">
        <v>89</v>
      </c>
    </row>
    <row r="40" spans="1:16" ht="12.75" customHeight="1" thickBot="1" x14ac:dyDescent="0.25">
      <c r="A40" s="9" t="str">
        <f t="shared" si="0"/>
        <v> AC 194.26 </v>
      </c>
      <c r="B40" s="14" t="str">
        <f t="shared" si="1"/>
        <v>I</v>
      </c>
      <c r="C40" s="9">
        <f t="shared" si="2"/>
        <v>35126.178</v>
      </c>
      <c r="D40" s="11" t="str">
        <f t="shared" si="3"/>
        <v>vis</v>
      </c>
      <c r="E40" s="37">
        <f>VLOOKUP(C40,Active!C$21:E$973,3,FALSE)</f>
        <v>-6677.9737257050374</v>
      </c>
      <c r="F40" s="14" t="s">
        <v>60</v>
      </c>
      <c r="G40" s="11" t="str">
        <f t="shared" si="4"/>
        <v>35126.178</v>
      </c>
      <c r="H40" s="9">
        <f t="shared" si="5"/>
        <v>1813</v>
      </c>
      <c r="I40" s="38" t="s">
        <v>138</v>
      </c>
      <c r="J40" s="39" t="s">
        <v>139</v>
      </c>
      <c r="K40" s="38">
        <v>1813</v>
      </c>
      <c r="L40" s="38" t="s">
        <v>140</v>
      </c>
      <c r="M40" s="39" t="s">
        <v>65</v>
      </c>
      <c r="N40" s="39"/>
      <c r="O40" s="40" t="s">
        <v>88</v>
      </c>
      <c r="P40" s="40" t="s">
        <v>89</v>
      </c>
    </row>
    <row r="41" spans="1:16" ht="12.75" customHeight="1" thickBot="1" x14ac:dyDescent="0.25">
      <c r="A41" s="9" t="str">
        <f t="shared" si="0"/>
        <v> MVS 453 </v>
      </c>
      <c r="B41" s="14" t="str">
        <f t="shared" si="1"/>
        <v>I</v>
      </c>
      <c r="C41" s="9">
        <f t="shared" si="2"/>
        <v>35370.557000000001</v>
      </c>
      <c r="D41" s="11" t="str">
        <f t="shared" si="3"/>
        <v>vis</v>
      </c>
      <c r="E41" s="37">
        <f>VLOOKUP(C41,Active!C$21:E$973,3,FALSE)</f>
        <v>-6593.0233932439905</v>
      </c>
      <c r="F41" s="14" t="s">
        <v>60</v>
      </c>
      <c r="G41" s="11" t="str">
        <f t="shared" si="4"/>
        <v>35370.557</v>
      </c>
      <c r="H41" s="9">
        <f t="shared" si="5"/>
        <v>1898</v>
      </c>
      <c r="I41" s="38" t="s">
        <v>141</v>
      </c>
      <c r="J41" s="39" t="s">
        <v>142</v>
      </c>
      <c r="K41" s="38">
        <v>1898</v>
      </c>
      <c r="L41" s="38" t="s">
        <v>81</v>
      </c>
      <c r="M41" s="39" t="s">
        <v>65</v>
      </c>
      <c r="N41" s="39"/>
      <c r="O41" s="40" t="s">
        <v>71</v>
      </c>
      <c r="P41" s="40" t="s">
        <v>72</v>
      </c>
    </row>
    <row r="42" spans="1:16" ht="12.75" customHeight="1" thickBot="1" x14ac:dyDescent="0.25">
      <c r="A42" s="9" t="str">
        <f t="shared" si="0"/>
        <v> MVS 453 </v>
      </c>
      <c r="B42" s="14" t="str">
        <f t="shared" si="1"/>
        <v>I</v>
      </c>
      <c r="C42" s="9">
        <f t="shared" si="2"/>
        <v>35419.444000000003</v>
      </c>
      <c r="D42" s="11" t="str">
        <f t="shared" si="3"/>
        <v>vis</v>
      </c>
      <c r="E42" s="37">
        <f>VLOOKUP(C42,Active!C$21:E$973,3,FALSE)</f>
        <v>-6576.0294334396567</v>
      </c>
      <c r="F42" s="14" t="s">
        <v>60</v>
      </c>
      <c r="G42" s="11" t="str">
        <f t="shared" si="4"/>
        <v>35419.444</v>
      </c>
      <c r="H42" s="9">
        <f t="shared" si="5"/>
        <v>1915</v>
      </c>
      <c r="I42" s="38" t="s">
        <v>143</v>
      </c>
      <c r="J42" s="39" t="s">
        <v>144</v>
      </c>
      <c r="K42" s="38">
        <v>1915</v>
      </c>
      <c r="L42" s="38" t="s">
        <v>145</v>
      </c>
      <c r="M42" s="39" t="s">
        <v>65</v>
      </c>
      <c r="N42" s="39"/>
      <c r="O42" s="40" t="s">
        <v>71</v>
      </c>
      <c r="P42" s="40" t="s">
        <v>72</v>
      </c>
    </row>
    <row r="43" spans="1:16" ht="12.75" customHeight="1" thickBot="1" x14ac:dyDescent="0.25">
      <c r="A43" s="9" t="str">
        <f t="shared" si="0"/>
        <v> MVS 453 </v>
      </c>
      <c r="B43" s="14" t="str">
        <f t="shared" si="1"/>
        <v>I</v>
      </c>
      <c r="C43" s="9">
        <f t="shared" si="2"/>
        <v>35721.58</v>
      </c>
      <c r="D43" s="11" t="str">
        <f t="shared" si="3"/>
        <v>vis</v>
      </c>
      <c r="E43" s="37">
        <f>VLOOKUP(C43,Active!C$21:E$973,3,FALSE)</f>
        <v>-6471.0017770188906</v>
      </c>
      <c r="F43" s="14" t="s">
        <v>60</v>
      </c>
      <c r="G43" s="11" t="str">
        <f t="shared" si="4"/>
        <v>35721.580</v>
      </c>
      <c r="H43" s="9">
        <f t="shared" si="5"/>
        <v>2020</v>
      </c>
      <c r="I43" s="38" t="s">
        <v>146</v>
      </c>
      <c r="J43" s="39" t="s">
        <v>147</v>
      </c>
      <c r="K43" s="38">
        <v>2020</v>
      </c>
      <c r="L43" s="38" t="s">
        <v>148</v>
      </c>
      <c r="M43" s="39" t="s">
        <v>65</v>
      </c>
      <c r="N43" s="39"/>
      <c r="O43" s="40" t="s">
        <v>71</v>
      </c>
      <c r="P43" s="40" t="s">
        <v>72</v>
      </c>
    </row>
    <row r="44" spans="1:16" ht="12.75" customHeight="1" thickBot="1" x14ac:dyDescent="0.25">
      <c r="A44" s="9" t="str">
        <f t="shared" si="0"/>
        <v> MVS 453 </v>
      </c>
      <c r="B44" s="14" t="str">
        <f t="shared" si="1"/>
        <v>I</v>
      </c>
      <c r="C44" s="9">
        <f t="shared" si="2"/>
        <v>35868.328000000001</v>
      </c>
      <c r="D44" s="11" t="str">
        <f t="shared" si="3"/>
        <v>vis</v>
      </c>
      <c r="E44" s="37">
        <f>VLOOKUP(C44,Active!C$21:E$973,3,FALSE)</f>
        <v>-6419.9896549134983</v>
      </c>
      <c r="F44" s="14" t="s">
        <v>60</v>
      </c>
      <c r="G44" s="11" t="str">
        <f t="shared" si="4"/>
        <v>35868.328</v>
      </c>
      <c r="H44" s="9">
        <f t="shared" si="5"/>
        <v>2071</v>
      </c>
      <c r="I44" s="38" t="s">
        <v>149</v>
      </c>
      <c r="J44" s="39" t="s">
        <v>150</v>
      </c>
      <c r="K44" s="38">
        <v>2071</v>
      </c>
      <c r="L44" s="38" t="s">
        <v>151</v>
      </c>
      <c r="M44" s="39" t="s">
        <v>65</v>
      </c>
      <c r="N44" s="39"/>
      <c r="O44" s="40" t="s">
        <v>71</v>
      </c>
      <c r="P44" s="40" t="s">
        <v>72</v>
      </c>
    </row>
    <row r="45" spans="1:16" ht="12.75" customHeight="1" thickBot="1" x14ac:dyDescent="0.25">
      <c r="A45" s="9" t="str">
        <f t="shared" si="0"/>
        <v> AC 194.26 </v>
      </c>
      <c r="B45" s="14" t="str">
        <f t="shared" si="1"/>
        <v>I</v>
      </c>
      <c r="C45" s="9">
        <f t="shared" si="2"/>
        <v>35894.116999999998</v>
      </c>
      <c r="D45" s="11" t="str">
        <f t="shared" si="3"/>
        <v>vis</v>
      </c>
      <c r="E45" s="37">
        <f>VLOOKUP(C45,Active!C$21:E$973,3,FALSE)</f>
        <v>-6411.0249561307155</v>
      </c>
      <c r="F45" s="14" t="s">
        <v>60</v>
      </c>
      <c r="G45" s="11" t="str">
        <f t="shared" si="4"/>
        <v>35894.117</v>
      </c>
      <c r="H45" s="9">
        <f t="shared" si="5"/>
        <v>2080</v>
      </c>
      <c r="I45" s="38" t="s">
        <v>152</v>
      </c>
      <c r="J45" s="39" t="s">
        <v>153</v>
      </c>
      <c r="K45" s="38">
        <v>2080</v>
      </c>
      <c r="L45" s="38" t="s">
        <v>154</v>
      </c>
      <c r="M45" s="39" t="s">
        <v>65</v>
      </c>
      <c r="N45" s="39"/>
      <c r="O45" s="40" t="s">
        <v>88</v>
      </c>
      <c r="P45" s="40" t="s">
        <v>89</v>
      </c>
    </row>
    <row r="46" spans="1:16" ht="12.75" customHeight="1" thickBot="1" x14ac:dyDescent="0.25">
      <c r="A46" s="9" t="str">
        <f t="shared" si="0"/>
        <v> ASS 67.213 </v>
      </c>
      <c r="B46" s="14" t="str">
        <f t="shared" si="1"/>
        <v>I</v>
      </c>
      <c r="C46" s="9">
        <f t="shared" si="2"/>
        <v>42726.391000000003</v>
      </c>
      <c r="D46" s="11" t="str">
        <f t="shared" si="3"/>
        <v>vis</v>
      </c>
      <c r="E46" s="37">
        <f>VLOOKUP(C46,Active!C$21:E$973,3,FALSE)</f>
        <v>-4036.009313358787</v>
      </c>
      <c r="F46" s="14" t="s">
        <v>60</v>
      </c>
      <c r="G46" s="11" t="str">
        <f t="shared" si="4"/>
        <v>42726.391</v>
      </c>
      <c r="H46" s="9">
        <f t="shared" si="5"/>
        <v>4455</v>
      </c>
      <c r="I46" s="38" t="s">
        <v>155</v>
      </c>
      <c r="J46" s="39" t="s">
        <v>156</v>
      </c>
      <c r="K46" s="38">
        <v>4455</v>
      </c>
      <c r="L46" s="38" t="s">
        <v>157</v>
      </c>
      <c r="M46" s="39" t="s">
        <v>158</v>
      </c>
      <c r="N46" s="39" t="s">
        <v>159</v>
      </c>
      <c r="O46" s="40" t="s">
        <v>160</v>
      </c>
      <c r="P46" s="40" t="s">
        <v>161</v>
      </c>
    </row>
    <row r="47" spans="1:16" ht="12.75" customHeight="1" thickBot="1" x14ac:dyDescent="0.25">
      <c r="A47" s="9" t="str">
        <f t="shared" si="0"/>
        <v>VSB 40 </v>
      </c>
      <c r="B47" s="14" t="str">
        <f t="shared" si="1"/>
        <v>I</v>
      </c>
      <c r="C47" s="9">
        <f t="shared" si="2"/>
        <v>52279.954299999998</v>
      </c>
      <c r="D47" s="11" t="str">
        <f t="shared" si="3"/>
        <v>vis</v>
      </c>
      <c r="E47" s="37">
        <f>VLOOKUP(C47,Active!C$21:E$973,3,FALSE)</f>
        <v>-715.02682909194129</v>
      </c>
      <c r="F47" s="14" t="s">
        <v>60</v>
      </c>
      <c r="G47" s="11" t="str">
        <f t="shared" si="4"/>
        <v>52279.9543</v>
      </c>
      <c r="H47" s="9">
        <f t="shared" si="5"/>
        <v>7776</v>
      </c>
      <c r="I47" s="38" t="s">
        <v>179</v>
      </c>
      <c r="J47" s="39" t="s">
        <v>180</v>
      </c>
      <c r="K47" s="38" t="s">
        <v>181</v>
      </c>
      <c r="L47" s="38" t="s">
        <v>182</v>
      </c>
      <c r="M47" s="39" t="s">
        <v>158</v>
      </c>
      <c r="N47" s="39" t="s">
        <v>159</v>
      </c>
      <c r="O47" s="40" t="s">
        <v>183</v>
      </c>
      <c r="P47" s="41" t="s">
        <v>184</v>
      </c>
    </row>
    <row r="48" spans="1:16" ht="12.75" customHeight="1" thickBot="1" x14ac:dyDescent="0.25">
      <c r="A48" s="9" t="str">
        <f t="shared" si="0"/>
        <v>VSB 45 </v>
      </c>
      <c r="B48" s="14" t="str">
        <f t="shared" si="1"/>
        <v>I</v>
      </c>
      <c r="C48" s="9">
        <f t="shared" si="2"/>
        <v>54075.091200000003</v>
      </c>
      <c r="D48" s="11" t="str">
        <f t="shared" si="3"/>
        <v>vis</v>
      </c>
      <c r="E48" s="37">
        <f>VLOOKUP(C48,Active!C$21:E$973,3,FALSE)</f>
        <v>-91.006448993438809</v>
      </c>
      <c r="F48" s="14" t="s">
        <v>60</v>
      </c>
      <c r="G48" s="11" t="str">
        <f t="shared" si="4"/>
        <v>54075.0912</v>
      </c>
      <c r="H48" s="9">
        <f t="shared" si="5"/>
        <v>8400</v>
      </c>
      <c r="I48" s="38" t="s">
        <v>185</v>
      </c>
      <c r="J48" s="39" t="s">
        <v>186</v>
      </c>
      <c r="K48" s="38" t="s">
        <v>187</v>
      </c>
      <c r="L48" s="38" t="s">
        <v>188</v>
      </c>
      <c r="M48" s="39" t="s">
        <v>158</v>
      </c>
      <c r="N48" s="39" t="s">
        <v>159</v>
      </c>
      <c r="O48" s="40" t="s">
        <v>189</v>
      </c>
      <c r="P48" s="41" t="s">
        <v>190</v>
      </c>
    </row>
    <row r="49" spans="1:16" ht="12.75" customHeight="1" thickBot="1" x14ac:dyDescent="0.25">
      <c r="A49" s="9" t="str">
        <f t="shared" si="0"/>
        <v>VSB 59 </v>
      </c>
      <c r="B49" s="14" t="str">
        <f t="shared" si="1"/>
        <v>I</v>
      </c>
      <c r="C49" s="9">
        <f t="shared" si="2"/>
        <v>56995.0959</v>
      </c>
      <c r="D49" s="11" t="str">
        <f t="shared" si="3"/>
        <v>vis</v>
      </c>
      <c r="E49" s="37">
        <f>VLOOKUP(C49,Active!C$21:E$973,3,FALSE)</f>
        <v>924.03727429218213</v>
      </c>
      <c r="F49" s="14" t="s">
        <v>60</v>
      </c>
      <c r="G49" s="11" t="str">
        <f t="shared" si="4"/>
        <v>56995.0959</v>
      </c>
      <c r="H49" s="9">
        <f t="shared" si="5"/>
        <v>9415</v>
      </c>
      <c r="I49" s="38" t="s">
        <v>203</v>
      </c>
      <c r="J49" s="39" t="s">
        <v>204</v>
      </c>
      <c r="K49" s="38" t="s">
        <v>205</v>
      </c>
      <c r="L49" s="38" t="s">
        <v>206</v>
      </c>
      <c r="M49" s="39" t="s">
        <v>195</v>
      </c>
      <c r="N49" s="39" t="s">
        <v>60</v>
      </c>
      <c r="O49" s="40" t="s">
        <v>207</v>
      </c>
      <c r="P49" s="41" t="s">
        <v>208</v>
      </c>
    </row>
    <row r="50" spans="1:16" x14ac:dyDescent="0.2">
      <c r="B50" s="14"/>
      <c r="F50" s="14"/>
    </row>
    <row r="51" spans="1:16" x14ac:dyDescent="0.2">
      <c r="B51" s="14"/>
      <c r="F51" s="14"/>
    </row>
    <row r="52" spans="1:16" x14ac:dyDescent="0.2">
      <c r="B52" s="14"/>
      <c r="F52" s="14"/>
    </row>
    <row r="53" spans="1:16" x14ac:dyDescent="0.2">
      <c r="B53" s="14"/>
      <c r="F53" s="14"/>
    </row>
    <row r="54" spans="1:16" x14ac:dyDescent="0.2">
      <c r="B54" s="14"/>
      <c r="F54" s="14"/>
    </row>
    <row r="55" spans="1:16" x14ac:dyDescent="0.2">
      <c r="B55" s="14"/>
      <c r="F55" s="14"/>
    </row>
    <row r="56" spans="1:16" x14ac:dyDescent="0.2">
      <c r="B56" s="14"/>
      <c r="F56" s="14"/>
    </row>
    <row r="57" spans="1:16" x14ac:dyDescent="0.2">
      <c r="B57" s="14"/>
      <c r="F57" s="14"/>
    </row>
    <row r="58" spans="1:16" x14ac:dyDescent="0.2">
      <c r="B58" s="14"/>
      <c r="F58" s="14"/>
    </row>
    <row r="59" spans="1:16" x14ac:dyDescent="0.2">
      <c r="B59" s="14"/>
      <c r="F59" s="14"/>
    </row>
    <row r="60" spans="1:16" x14ac:dyDescent="0.2">
      <c r="B60" s="14"/>
      <c r="F60" s="14"/>
    </row>
    <row r="61" spans="1:16" x14ac:dyDescent="0.2">
      <c r="B61" s="14"/>
      <c r="F61" s="14"/>
    </row>
    <row r="62" spans="1:16" x14ac:dyDescent="0.2">
      <c r="B62" s="14"/>
      <c r="F62" s="14"/>
    </row>
    <row r="63" spans="1:16" x14ac:dyDescent="0.2">
      <c r="B63" s="14"/>
      <c r="F63" s="14"/>
    </row>
    <row r="64" spans="1:16" x14ac:dyDescent="0.2">
      <c r="B64" s="14"/>
      <c r="F64" s="14"/>
    </row>
    <row r="65" spans="2:6" x14ac:dyDescent="0.2">
      <c r="B65" s="14"/>
      <c r="F65" s="14"/>
    </row>
    <row r="66" spans="2:6" x14ac:dyDescent="0.2">
      <c r="B66" s="14"/>
      <c r="F66" s="14"/>
    </row>
    <row r="67" spans="2:6" x14ac:dyDescent="0.2">
      <c r="B67" s="14"/>
      <c r="F67" s="14"/>
    </row>
    <row r="68" spans="2:6" x14ac:dyDescent="0.2">
      <c r="B68" s="14"/>
      <c r="F68" s="14"/>
    </row>
    <row r="69" spans="2:6" x14ac:dyDescent="0.2">
      <c r="B69" s="14"/>
      <c r="F69" s="14"/>
    </row>
    <row r="70" spans="2:6" x14ac:dyDescent="0.2">
      <c r="B70" s="14"/>
      <c r="F70" s="14"/>
    </row>
    <row r="71" spans="2:6" x14ac:dyDescent="0.2">
      <c r="B71" s="14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</sheetData>
  <phoneticPr fontId="7" type="noConversion"/>
  <hyperlinks>
    <hyperlink ref="P14" r:id="rId1" display="http://www.bav-astro.de/sfs/BAVM_link.php?BAVMnr=152" xr:uid="{00000000-0004-0000-0100-000000000000}"/>
    <hyperlink ref="P47" r:id="rId2" display="http://vsolj.cetus-net.org/no40.pdf" xr:uid="{00000000-0004-0000-0100-000001000000}"/>
    <hyperlink ref="P48" r:id="rId3" display="http://vsolj.cetus-net.org/no45.pdf" xr:uid="{00000000-0004-0000-0100-000002000000}"/>
    <hyperlink ref="P15" r:id="rId4" display="http://www.konkoly.hu/cgi-bin/IBVS?5920" xr:uid="{00000000-0004-0000-0100-000003000000}"/>
    <hyperlink ref="P16" r:id="rId5" display="http://www.konkoly.hu/cgi-bin/IBVS?6011" xr:uid="{00000000-0004-0000-0100-000004000000}"/>
    <hyperlink ref="P49" r:id="rId6" display="http://vsolj.cetus-net.org/vsoljno59.pdf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2024-07-29T08:34:25Z</dcterms:modified>
</cp:coreProperties>
</file>