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3088CB9-F537-4BC3-BAB7-C9D0E761F1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1" i="1"/>
  <c r="E22" i="1"/>
  <c r="F22" i="1"/>
  <c r="G22" i="1" s="1"/>
  <c r="I22" i="1" s="1"/>
  <c r="E23" i="1"/>
  <c r="F23" i="1" s="1"/>
  <c r="G23" i="1" s="1"/>
  <c r="K23" i="1" s="1"/>
  <c r="Q23" i="1"/>
  <c r="C8" i="1"/>
  <c r="E21" i="1"/>
  <c r="F21" i="1"/>
  <c r="G21" i="1" s="1"/>
  <c r="I21" i="1" s="1"/>
  <c r="C9" i="1"/>
  <c r="D9" i="1"/>
  <c r="C17" i="1"/>
  <c r="Q22" i="1"/>
  <c r="C11" i="1"/>
  <c r="C12" i="1"/>
  <c r="F15" i="1" l="1"/>
  <c r="C16" i="1"/>
  <c r="D18" i="1" s="1"/>
  <c r="O21" i="1"/>
  <c r="O22" i="1"/>
  <c r="C15" i="1"/>
  <c r="O23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<sst xmlns="http://schemas.openxmlformats.org/spreadsheetml/2006/main" count="60" uniqueCount="55">
  <si>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</si>
  <si>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</si>
  <si>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</si>
  <si>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</si>
  <si>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</si>
  <si>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</si>
  <si>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</si>
  <si>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</si>
  <si>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</si>
  <si>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</si>
  <si>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</si>
  <si>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</si>
  <si>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</si>
  <si>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</si>
  <si>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</si>
  <si>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</si>
  <si>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</si>
  <si>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</si>
  <si>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</si>
  <si>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</si>
  <si>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</si>
  <si>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</si>
  <si>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</si>
  <si>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</si>
  <si>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</si>
  <si>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</si>
  <si>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</si>
  <si>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</si>
  <si>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</si>
  <si>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</si>
  <si>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</si>
  <si>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</si>
  <si>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</si>
  <si>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</si>
  <si>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</si>
  <si>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</si>
  <si>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</si>
  <si>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</si>
  <si>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</si>
  <si>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</si>
  <si>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BAD?</t>
  </si>
  <si>
    <t>KV Eri</t>
  </si>
  <si>
    <t>2013a</t>
  </si>
  <si>
    <t>G8051-0651</t>
  </si>
  <si>
    <t>EW</t>
  </si>
  <si>
    <t>pr_0</t>
  </si>
  <si>
    <t>~</t>
  </si>
  <si>
    <t>KV Eri / GSC 8051-0651</t>
  </si>
  <si>
    <t>BRNO</t>
  </si>
  <si>
    <t>OEJV 0179</t>
  </si>
  <si>
    <t xml:space="preserve">Mag </t>
  </si>
  <si>
    <t>Next ToM-P</t>
  </si>
  <si>
    <t>Next ToM-S</t>
  </si>
  <si>
    <t>VSX</t>
  </si>
  <si>
    <t>12.44-12.95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</si>
</sst>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0" fillId="0" borderId="0" xfId="0" applyFont="1" applyAlignment="1"/>
    <xf numFmtId="0" fontId="12" fillId="0" borderId="0" xfId="0" applyFont="1" applyAlignment="1">
      <alignment horizontal="center"/>
    </xf>
    <xf numFmtId="0" fontId="15" fillId="24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6" fillId="24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6" fillId="25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0" fillId="0" borderId="0" xfId="0" applyAlignment="1">
      <alignment horizontal="right"/>
    </xf>
    <xf numFmtId="0" fontId="16" fillId="0" borderId="0" xfId="0" applyFont="1" applyAlignment="1"/>
    <xf numFmtId="0" fontId="0" fillId="26" borderId="11" xfId="0" applyFill="1" applyBorder="1" applyAlignment="1">
      <alignment horizontal="right" vertical="center"/>
    </xf>
    <xf numFmtId="0" fontId="16" fillId="26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34" fillId="0" borderId="14" xfId="0" applyFont="1" applyBorder="1" applyAlignment="1">
      <alignment horizontal="right" vertical="center"/>
    </xf>
    <xf numFmtId="0" fontId="33" fillId="0" borderId="14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22" fontId="33" fillId="0" borderId="14" xfId="0" applyNumberFormat="1" applyFont="1" applyBorder="1" applyAlignment="1">
      <alignment horizontal="right" vertical="center"/>
    </xf>
    <xf numFmtId="22" fontId="33" fillId="0" borderId="15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KV Eri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19752.5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2A-492E-99FA-AC581B2BEB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19752.5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2.7409999966039322E-3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2A-492E-99FA-AC581B2BEB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19752.5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2A-492E-99FA-AC581B2BEB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19752.5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-1.8572500004665926E-2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2A-492E-99FA-AC581B2BEB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19752.5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2A-492E-99FA-AC581B2BEB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19752.5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2A-492E-99FA-AC581B2BEB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19752.5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2A-492E-99FA-AC581B2BEB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19752.5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1.3719103577408643E-3</c:v>
                </c:pt>
                <c:pt idx="1">
                  <c:v>1.3688812421404567E-3</c:v>
                </c:pt>
                <c:pt idx="2">
                  <c:v>-1.8572291607943315E-2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2A-492E-99FA-AC581B2BEBE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19752.5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2A-492E-99FA-AC581B2BE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287304"/>
        <c:axId val="1"/>
      </c:scatterChart>
      <c:valAx>
        <c:axId val="794287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287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DC10570-E4D7-1928-4705-94D205848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3" sqref="F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3" t="s">
        <v>41</v>
      </c>
      <c r="G1" s="29" t="s">
        <v>42</v>
      </c>
      <c r="H1" s="34"/>
      <c r="I1" s="35" t="s">
        <v>43</v>
      </c>
      <c r="J1" s="36" t="s">
        <v>41</v>
      </c>
      <c r="K1" s="35">
        <v>2.5015999999999998</v>
      </c>
      <c r="L1" s="37">
        <v>-46.491199999999999</v>
      </c>
      <c r="M1" s="38">
        <v>51868.957000000002</v>
      </c>
      <c r="N1" s="38">
        <v>0.27175300000000002</v>
      </c>
      <c r="O1" s="39" t="s">
        <v>44</v>
      </c>
      <c r="P1" s="37">
        <v>12.48</v>
      </c>
      <c r="Q1" s="37">
        <v>13.01</v>
      </c>
      <c r="R1" s="40" t="s">
        <v>45</v>
      </c>
      <c r="S1" s="41" t="s">
        <v>46</v>
      </c>
    </row>
    <row r="2" spans="1:19" x14ac:dyDescent="0.2">
      <c r="A2" t="s">
        <v>24</v>
      </c>
      <c r="B2" t="s">
        <v>44</v>
      </c>
      <c r="C2" s="28"/>
      <c r="D2" s="3"/>
    </row>
    <row r="3" spans="1:19" ht="13.5" thickBot="1" x14ac:dyDescent="0.25">
      <c r="C3" s="31"/>
      <c r="D3" s="31"/>
    </row>
    <row r="4" spans="1:19" ht="14.25" thickTop="1" thickBot="1" x14ac:dyDescent="0.25">
      <c r="A4" s="5" t="s">
        <v>1</v>
      </c>
      <c r="C4" s="25">
        <v>51868.139000000003</v>
      </c>
      <c r="D4" s="26">
        <v>0.27175300000000002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</row>
    <row r="7" spans="1:19" x14ac:dyDescent="0.2">
      <c r="A7" t="s">
        <v>3</v>
      </c>
      <c r="C7" s="45">
        <v>51868.139000000003</v>
      </c>
      <c r="D7" s="30" t="s">
        <v>53</v>
      </c>
    </row>
    <row r="8" spans="1:19" x14ac:dyDescent="0.2">
      <c r="A8" t="s">
        <v>4</v>
      </c>
      <c r="C8" s="45">
        <f>N1</f>
        <v>0.27175300000000002</v>
      </c>
      <c r="D8" s="27" t="s">
        <v>53</v>
      </c>
    </row>
    <row r="9" spans="1:19" x14ac:dyDescent="0.2">
      <c r="A9" s="23" t="s">
        <v>32</v>
      </c>
      <c r="B9" s="32">
        <v>21</v>
      </c>
      <c r="C9" s="21" t="str">
        <f>"F"&amp;B9</f>
        <v>F21</v>
      </c>
      <c r="D9" s="22" t="str">
        <f>"G"&amp;B9</f>
        <v>G21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0">
        <f ca="1">INTERCEPT(INDIRECT($D$9):G992,INDIRECT($C$9):F992)</f>
        <v>1.3719103577408643E-3</v>
      </c>
      <c r="D11" s="3"/>
      <c r="E11" s="10"/>
    </row>
    <row r="12" spans="1:19" x14ac:dyDescent="0.2">
      <c r="A12" s="10" t="s">
        <v>17</v>
      </c>
      <c r="B12" s="10"/>
      <c r="C12" s="20">
        <f ca="1">SLOPE(INDIRECT($D$9):G992,INDIRECT($C$9):F992)</f>
        <v>-1.0097052001358906E-6</v>
      </c>
      <c r="D12" s="3"/>
      <c r="E12" s="47" t="s">
        <v>50</v>
      </c>
      <c r="F12" s="48" t="s">
        <v>54</v>
      </c>
    </row>
    <row r="13" spans="1:19" x14ac:dyDescent="0.2">
      <c r="A13" s="10" t="s">
        <v>19</v>
      </c>
      <c r="B13" s="10"/>
      <c r="C13" s="3" t="s">
        <v>14</v>
      </c>
      <c r="E13" s="49" t="s">
        <v>33</v>
      </c>
      <c r="F13" s="50">
        <v>1</v>
      </c>
    </row>
    <row r="14" spans="1:19" x14ac:dyDescent="0.2">
      <c r="A14" s="10"/>
      <c r="B14" s="10"/>
      <c r="C14" s="10"/>
      <c r="E14" s="49" t="s">
        <v>31</v>
      </c>
      <c r="F14" s="51">
        <f ca="1">NOW()+15018.5+$C$5/24</f>
        <v>60520.862996180556</v>
      </c>
    </row>
    <row r="15" spans="1:19" x14ac:dyDescent="0.2">
      <c r="A15" s="12" t="s">
        <v>18</v>
      </c>
      <c r="B15" s="10"/>
      <c r="C15" s="13">
        <f ca="1">(C7+C11)+(C8+C12)*INT(MAX(F21:F3533))</f>
        <v>57235.785684213246</v>
      </c>
      <c r="E15" s="52" t="s">
        <v>34</v>
      </c>
      <c r="F15" s="51">
        <f ca="1">ROUND(2*($F$14-$C$7)/$C$8,0)/2+$F$13</f>
        <v>31841.5</v>
      </c>
    </row>
    <row r="16" spans="1:19" x14ac:dyDescent="0.2">
      <c r="A16" s="15" t="s">
        <v>5</v>
      </c>
      <c r="B16" s="10"/>
      <c r="C16" s="16">
        <f ca="1">+C8+C12</f>
        <v>0.27175199029479991</v>
      </c>
      <c r="E16" s="52" t="s">
        <v>35</v>
      </c>
      <c r="F16" s="51">
        <f ca="1">ROUND(2*($F$14-$C$15)/$C$16,0)/2+$F$13</f>
        <v>12089.5</v>
      </c>
    </row>
    <row r="17" spans="1:21" ht="13.5" thickBot="1" x14ac:dyDescent="0.25">
      <c r="A17" s="14" t="s">
        <v>28</v>
      </c>
      <c r="B17" s="10"/>
      <c r="C17" s="10">
        <f>COUNT(C21:C2191)</f>
        <v>3</v>
      </c>
      <c r="E17" s="52" t="s">
        <v>51</v>
      </c>
      <c r="F17" s="53">
        <f ca="1">+$C$15+$C$16*$F$16-15018.5-$C$5/24</f>
        <v>45503.027204215563</v>
      </c>
    </row>
    <row r="18" spans="1:21" ht="14.25" thickTop="1" thickBot="1" x14ac:dyDescent="0.25">
      <c r="A18" s="15" t="s">
        <v>6</v>
      </c>
      <c r="B18" s="10"/>
      <c r="C18" s="18">
        <f ca="1">+C15</f>
        <v>57235.785684213246</v>
      </c>
      <c r="D18" s="19">
        <f ca="1">+C16</f>
        <v>0.27175199029479991</v>
      </c>
      <c r="E18" s="55" t="s">
        <v>52</v>
      </c>
      <c r="F18" s="54">
        <f ca="1">+($C$15+$C$16*$F$16)-($C$16/2)-15018.5-$C$5/24</f>
        <v>45502.891328220416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4" t="s">
        <v>40</v>
      </c>
    </row>
    <row r="21" spans="1:21" x14ac:dyDescent="0.2">
      <c r="A21" s="46" t="s">
        <v>53</v>
      </c>
      <c r="C21" s="8">
        <v>51868.139000000003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1.3719103577408643E-3</v>
      </c>
      <c r="Q21" s="2">
        <f>+C21-15018.5</f>
        <v>36849.639000000003</v>
      </c>
    </row>
    <row r="22" spans="1:21" x14ac:dyDescent="0.2">
      <c r="A22" t="s">
        <v>48</v>
      </c>
      <c r="C22" s="8">
        <v>51868.957000000002</v>
      </c>
      <c r="D22" s="8" t="s">
        <v>14</v>
      </c>
      <c r="E22">
        <f>+(C22-C$7)/C$8</f>
        <v>3.0100863651893501</v>
      </c>
      <c r="F22">
        <f>ROUND(2*E22,0)/2</f>
        <v>3</v>
      </c>
      <c r="G22">
        <f>+C22-(C$7+F22*C$8)</f>
        <v>2.7409999966039322E-3</v>
      </c>
      <c r="I22">
        <f>+G22</f>
        <v>2.7409999966039322E-3</v>
      </c>
      <c r="O22">
        <f ca="1">+C$11+C$12*$F22</f>
        <v>1.3688812421404567E-3</v>
      </c>
      <c r="Q22" s="2">
        <f>+C22-15018.5</f>
        <v>36850.457000000002</v>
      </c>
    </row>
    <row r="23" spans="1:21" x14ac:dyDescent="0.2">
      <c r="A23" s="42" t="s">
        <v>49</v>
      </c>
      <c r="B23" s="43" t="s">
        <v>0</v>
      </c>
      <c r="C23" s="44">
        <v>57235.921560000003</v>
      </c>
      <c r="D23" s="44">
        <v>1E-4</v>
      </c>
      <c r="E23">
        <f>+(C23-C$7)/C$8</f>
        <v>19752.431656688241</v>
      </c>
      <c r="F23">
        <f>ROUND(2*E23,0)/2</f>
        <v>19752.5</v>
      </c>
      <c r="G23">
        <f>+C23-(C$7+F23*C$8)</f>
        <v>-1.8572500004665926E-2</v>
      </c>
      <c r="K23">
        <f>+G23</f>
        <v>-1.8572500004665926E-2</v>
      </c>
      <c r="O23">
        <f ca="1">+C$11+C$12*$F23</f>
        <v>-1.8572291607943315E-2</v>
      </c>
      <c r="Q23" s="2">
        <f>+C23-15018.5</f>
        <v>42217.421560000003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475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2024-07-29T08:42:42Z</dcterms:modified>
</cp:coreProperties>
</file>