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4C33862-F582-49D2-A875-D8B701A2CA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F14" i="1"/>
  <c r="Q26" i="1"/>
  <c r="Q25" i="1"/>
  <c r="C9" i="1"/>
  <c r="D9" i="1"/>
  <c r="Q24" i="1"/>
  <c r="Q23" i="1"/>
  <c r="E23" i="1"/>
  <c r="F23" i="1" s="1"/>
  <c r="G23" i="1" s="1"/>
  <c r="K23" i="1" s="1"/>
  <c r="E24" i="1"/>
  <c r="F24" i="1" s="1"/>
  <c r="G24" i="1" s="1"/>
  <c r="K24" i="1" s="1"/>
  <c r="Q21" i="1"/>
  <c r="C17" i="1"/>
  <c r="E25" i="1"/>
  <c r="F25" i="1" s="1"/>
  <c r="G25" i="1" s="1"/>
  <c r="K25" i="1" s="1"/>
  <c r="E26" i="1"/>
  <c r="F26" i="1" s="1"/>
  <c r="G26" i="1" s="1"/>
  <c r="K26" i="1" s="1"/>
  <c r="E21" i="1"/>
  <c r="F21" i="1" s="1"/>
  <c r="G21" i="1" s="1"/>
  <c r="I21" i="1" s="1"/>
  <c r="C11" i="1"/>
  <c r="C12" i="1"/>
  <c r="O22" i="1" l="1"/>
  <c r="F15" i="1"/>
  <c r="O24" i="1"/>
  <c r="O23" i="1"/>
  <c r="O21" i="1"/>
  <c r="C15" i="1"/>
  <c r="O26" i="1"/>
  <c r="O25" i="1"/>
  <c r="C16" i="1"/>
  <c r="D18" i="1" s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<sst xmlns="http://schemas.openxmlformats.org/spreadsheetml/2006/main" count="65" uniqueCount="54">
  <si>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</si>
  <si>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</si>
  <si>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</si>
  <si>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</si>
  <si>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</si>
  <si>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</si>
  <si>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</si>
  <si>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</si>
  <si>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</si>
  <si>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</si>
  <si>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</si>
  <si>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</si>
  <si>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</si>
  <si>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</si>
  <si>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</si>
  <si>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</si>
  <si>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</si>
  <si>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</si>
  <si>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</si>
  <si>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</si>
  <si>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</si>
  <si>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</si>
  <si>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</si>
  <si>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</si>
  <si>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</si>
  <si>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</si>
  <si>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</si>
  <si>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</si>
  <si>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</si>
  <si>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</si>
  <si>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</si>
  <si>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</si>
  <si>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</si>
  <si>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</si>
  <si>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</si>
  <si>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G4716-0272_Eri.xls</t>
  </si>
  <si>
    <t>EA</t>
  </si>
  <si>
    <t>IBVS 5458 Eph.</t>
  </si>
  <si>
    <t>IBVS 5458</t>
  </si>
  <si>
    <t>Eri</t>
  </si>
  <si>
    <t>Add cycle</t>
  </si>
  <si>
    <t>Old Cycle</t>
  </si>
  <si>
    <t>IBVS 6011</t>
  </si>
  <si>
    <t>I</t>
  </si>
  <si>
    <t>KZ Eri / GSC 4716-0272</t>
  </si>
  <si>
    <t>IBVS 6042</t>
  </si>
  <si>
    <t>vis</t>
  </si>
  <si>
    <t>OEJV 0179</t>
  </si>
  <si>
    <t>OEJV 0211</t>
  </si>
  <si>
    <t xml:space="preserve">Mag </t>
  </si>
  <si>
    <t>Next ToM-P</t>
  </si>
  <si>
    <t>Next ToM-S</t>
  </si>
  <si>
    <t>VSX</t>
  </si>
  <si>
    <t>11.30-12.05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</si>
</sst>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5" fillId="0" borderId="0" xfId="0" applyFont="1">
      <alignment vertical="top"/>
    </xf>
    <xf numFmtId="0" fontId="0" fillId="0" borderId="5" xfId="0" applyBorder="1" applyAlignment="1">
      <alignment horizontal="center"/>
    </xf>
    <xf numFmtId="0" fontId="0" fillId="24" borderId="5" xfId="0" applyFill="1" applyBorder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1" fillId="0" borderId="0" xfId="42" applyFont="1"/>
    <xf numFmtId="0" fontId="31" fillId="0" borderId="0" xfId="42" applyFont="1" applyAlignment="1">
      <alignment horizontal="center"/>
    </xf>
    <xf numFmtId="0" fontId="31" fillId="0" borderId="0" xfId="42" applyFont="1" applyAlignment="1">
      <alignment horizontal="left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  <xf numFmtId="0" fontId="6" fillId="0" borderId="0" xfId="0" applyFont="1" applyAlignment="1"/>
    <xf numFmtId="0" fontId="0" fillId="25" borderId="11" xfId="0" applyFill="1" applyBorder="1" applyAlignment="1">
      <alignment horizontal="right" vertical="center"/>
    </xf>
    <xf numFmtId="0" fontId="6" fillId="25" borderId="12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center"/>
    </xf>
    <xf numFmtId="0" fontId="33" fillId="0" borderId="14" xfId="0" applyFont="1" applyBorder="1" applyAlignment="1">
      <alignment horizontal="right" vertical="center"/>
    </xf>
    <xf numFmtId="22" fontId="33" fillId="0" borderId="14" xfId="0" applyNumberFormat="1" applyFont="1" applyBorder="1" applyAlignment="1">
      <alignment horizontal="right" vertical="center"/>
    </xf>
    <xf numFmtId="22" fontId="33" fillId="0" borderId="15" xfId="0" applyNumberFormat="1" applyFont="1" applyBorder="1" applyAlignment="1">
      <alignment horizontal="right" vertical="center"/>
    </xf>
    <xf numFmtId="0" fontId="32" fillId="0" borderId="16" xfId="0" applyFont="1" applyBorder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KZ Eri - O-C Diagr.</a:t>
            </a:r>
          </a:p>
        </c:rich>
      </c:tx>
      <c:layout>
        <c:manualLayout>
          <c:xMode val="edge"/>
          <c:yMode val="edge"/>
          <c:x val="0.4019471488178025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00139082058414"/>
          <c:y val="0.14035127795846455"/>
          <c:w val="0.8400556328233658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-329</c:v>
                </c:pt>
                <c:pt idx="1">
                  <c:v>0</c:v>
                </c:pt>
                <c:pt idx="2">
                  <c:v>3085</c:v>
                </c:pt>
                <c:pt idx="3">
                  <c:v>3526</c:v>
                </c:pt>
                <c:pt idx="4">
                  <c:v>4221</c:v>
                </c:pt>
                <c:pt idx="5">
                  <c:v>5377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B8-4F39-A7F0-DCBC0BAD81E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-329</c:v>
                </c:pt>
                <c:pt idx="1">
                  <c:v>0</c:v>
                </c:pt>
                <c:pt idx="2">
                  <c:v>3085</c:v>
                </c:pt>
                <c:pt idx="3">
                  <c:v>3526</c:v>
                </c:pt>
                <c:pt idx="4">
                  <c:v>4221</c:v>
                </c:pt>
                <c:pt idx="5">
                  <c:v>5377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3.0100000003585592E-3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B8-4F39-A7F0-DCBC0BAD81E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-329</c:v>
                </c:pt>
                <c:pt idx="1">
                  <c:v>0</c:v>
                </c:pt>
                <c:pt idx="2">
                  <c:v>3085</c:v>
                </c:pt>
                <c:pt idx="3">
                  <c:v>3526</c:v>
                </c:pt>
                <c:pt idx="4">
                  <c:v>4221</c:v>
                </c:pt>
                <c:pt idx="5">
                  <c:v>5377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B8-4F39-A7F0-DCBC0BAD81E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-329</c:v>
                </c:pt>
                <c:pt idx="1">
                  <c:v>0</c:v>
                </c:pt>
                <c:pt idx="2">
                  <c:v>3085</c:v>
                </c:pt>
                <c:pt idx="3">
                  <c:v>3526</c:v>
                </c:pt>
                <c:pt idx="4">
                  <c:v>4221</c:v>
                </c:pt>
                <c:pt idx="5">
                  <c:v>5377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</c:v>
                </c:pt>
                <c:pt idx="2">
                  <c:v>-3.184999999939464E-2</c:v>
                </c:pt>
                <c:pt idx="3">
                  <c:v>-3.7140000000363216E-2</c:v>
                </c:pt>
                <c:pt idx="4">
                  <c:v>-4.5410000006086193E-2</c:v>
                </c:pt>
                <c:pt idx="5">
                  <c:v>-5.9580000153800938E-2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B8-4F39-A7F0-DCBC0BAD81E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-329</c:v>
                </c:pt>
                <c:pt idx="1">
                  <c:v>0</c:v>
                </c:pt>
                <c:pt idx="2">
                  <c:v>3085</c:v>
                </c:pt>
                <c:pt idx="3">
                  <c:v>3526</c:v>
                </c:pt>
                <c:pt idx="4">
                  <c:v>4221</c:v>
                </c:pt>
                <c:pt idx="5">
                  <c:v>5377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B8-4F39-A7F0-DCBC0BAD81E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-329</c:v>
                </c:pt>
                <c:pt idx="1">
                  <c:v>0</c:v>
                </c:pt>
                <c:pt idx="2">
                  <c:v>3085</c:v>
                </c:pt>
                <c:pt idx="3">
                  <c:v>3526</c:v>
                </c:pt>
                <c:pt idx="4">
                  <c:v>4221</c:v>
                </c:pt>
                <c:pt idx="5">
                  <c:v>5377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B8-4F39-A7F0-DCBC0BAD81E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5.9999999999999995E-4</c:v>
                  </c:pt>
                  <c:pt idx="3">
                    <c:v>4.0000000000000002E-4</c:v>
                  </c:pt>
                  <c:pt idx="4">
                    <c:v>1E-4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-329</c:v>
                </c:pt>
                <c:pt idx="1">
                  <c:v>0</c:v>
                </c:pt>
                <c:pt idx="2">
                  <c:v>3085</c:v>
                </c:pt>
                <c:pt idx="3">
                  <c:v>3526</c:v>
                </c:pt>
                <c:pt idx="4">
                  <c:v>4221</c:v>
                </c:pt>
                <c:pt idx="5">
                  <c:v>5377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B8-4F39-A7F0-DCBC0BAD81E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-329</c:v>
                </c:pt>
                <c:pt idx="1">
                  <c:v>0</c:v>
                </c:pt>
                <c:pt idx="2">
                  <c:v>3085</c:v>
                </c:pt>
                <c:pt idx="3">
                  <c:v>3526</c:v>
                </c:pt>
                <c:pt idx="4">
                  <c:v>4221</c:v>
                </c:pt>
                <c:pt idx="5">
                  <c:v>5377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3.7259340585508401E-3</c:v>
                </c:pt>
                <c:pt idx="1">
                  <c:v>1.6347612845200518E-4</c:v>
                </c:pt>
                <c:pt idx="2">
                  <c:v>-3.3241334553477803E-2</c:v>
                </c:pt>
                <c:pt idx="3">
                  <c:v>-3.8016544119354956E-2</c:v>
                </c:pt>
                <c:pt idx="4">
                  <c:v>-4.5542101144943684E-2</c:v>
                </c:pt>
                <c:pt idx="5">
                  <c:v>-5.805943052851284E-2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B8-4F39-A7F0-DCBC0BAD8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158232"/>
        <c:axId val="1"/>
      </c:scatterChart>
      <c:valAx>
        <c:axId val="658158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3393602225312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158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260083449235051"/>
          <c:y val="0.92397937099967764"/>
          <c:w val="0.5813630041724617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18</xdr:col>
      <xdr:colOff>114300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46CAF19-2A2D-A162-008E-22B284991C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71093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44</v>
      </c>
      <c r="E1" s="28"/>
      <c r="F1" s="28" t="s">
        <v>35</v>
      </c>
      <c r="G1" s="29" t="s">
        <v>36</v>
      </c>
      <c r="H1" s="10" t="s">
        <v>37</v>
      </c>
      <c r="I1" s="30">
        <v>52648.61</v>
      </c>
      <c r="J1" s="30">
        <v>0.94264000000000003</v>
      </c>
      <c r="K1" s="31" t="s">
        <v>38</v>
      </c>
      <c r="L1" s="11" t="s">
        <v>39</v>
      </c>
    </row>
    <row r="2" spans="1:12" ht="12.95" customHeight="1" x14ac:dyDescent="0.2">
      <c r="A2" t="s">
        <v>25</v>
      </c>
      <c r="B2" t="s">
        <v>36</v>
      </c>
      <c r="C2" s="9" t="s">
        <v>39</v>
      </c>
      <c r="D2" t="s">
        <v>35</v>
      </c>
    </row>
    <row r="3" spans="1:12" ht="12.95" customHeight="1" thickBot="1" x14ac:dyDescent="0.25"/>
    <row r="4" spans="1:12" ht="12.95" customHeight="1" thickTop="1" thickBot="1" x14ac:dyDescent="0.25">
      <c r="A4" s="27" t="s">
        <v>37</v>
      </c>
      <c r="C4" s="7">
        <v>52648.61</v>
      </c>
      <c r="D4" s="8">
        <v>0.94264000000000003</v>
      </c>
    </row>
    <row r="5" spans="1:12" ht="12.95" customHeight="1" thickTop="1" x14ac:dyDescent="0.2">
      <c r="A5" s="10" t="s">
        <v>30</v>
      </c>
      <c r="B5" s="11"/>
      <c r="C5" s="12">
        <v>-9.5</v>
      </c>
      <c r="D5" s="11" t="s">
        <v>31</v>
      </c>
    </row>
    <row r="6" spans="1:12" ht="12.95" customHeight="1" x14ac:dyDescent="0.2">
      <c r="A6" s="4" t="s">
        <v>3</v>
      </c>
    </row>
    <row r="7" spans="1:12" ht="12.95" customHeight="1" x14ac:dyDescent="0.2">
      <c r="A7" t="s">
        <v>4</v>
      </c>
      <c r="C7">
        <v>52958.752</v>
      </c>
      <c r="D7" s="42" t="s">
        <v>52</v>
      </c>
    </row>
    <row r="8" spans="1:12" ht="12.95" customHeight="1" x14ac:dyDescent="0.2">
      <c r="A8" t="s">
        <v>5</v>
      </c>
      <c r="C8">
        <v>0.94269000000000003</v>
      </c>
      <c r="D8" s="42" t="s">
        <v>52</v>
      </c>
    </row>
    <row r="9" spans="1:12" ht="12.95" customHeight="1" x14ac:dyDescent="0.2">
      <c r="A9" s="25" t="s">
        <v>34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12" ht="12.95" customHeight="1" thickBot="1" x14ac:dyDescent="0.25">
      <c r="A10" s="11"/>
      <c r="B10" s="11"/>
      <c r="C10" s="3" t="s">
        <v>21</v>
      </c>
      <c r="D10" s="3" t="s">
        <v>22</v>
      </c>
      <c r="E10" s="11"/>
    </row>
    <row r="11" spans="1:12" ht="12.95" customHeight="1" x14ac:dyDescent="0.2">
      <c r="A11" s="11" t="s">
        <v>17</v>
      </c>
      <c r="B11" s="11"/>
      <c r="C11" s="22">
        <f ca="1">INTERCEPT(INDIRECT($D$9):G992,INDIRECT($C$9):F992)</f>
        <v>1.6347612845200518E-4</v>
      </c>
      <c r="D11" s="13"/>
      <c r="E11" s="11"/>
    </row>
    <row r="12" spans="1:12" ht="12.95" customHeight="1" x14ac:dyDescent="0.2">
      <c r="A12" s="11" t="s">
        <v>18</v>
      </c>
      <c r="B12" s="11"/>
      <c r="C12" s="22">
        <f ca="1">SLOPE(INDIRECT($D$9):G992,INDIRECT($C$9):F992)</f>
        <v>-1.0828139605163632E-5</v>
      </c>
      <c r="D12" s="13"/>
      <c r="E12" s="43" t="s">
        <v>49</v>
      </c>
      <c r="F12" s="44" t="s">
        <v>53</v>
      </c>
    </row>
    <row r="13" spans="1:12" ht="12.95" customHeight="1" x14ac:dyDescent="0.2">
      <c r="A13" s="11" t="s">
        <v>20</v>
      </c>
      <c r="B13" s="11"/>
      <c r="C13" s="13" t="s">
        <v>15</v>
      </c>
      <c r="E13" s="45" t="s">
        <v>40</v>
      </c>
      <c r="F13" s="46">
        <v>1</v>
      </c>
    </row>
    <row r="14" spans="1:12" ht="12.95" customHeight="1" x14ac:dyDescent="0.2">
      <c r="A14" s="11"/>
      <c r="B14" s="11"/>
      <c r="C14" s="11"/>
      <c r="E14" s="45" t="s">
        <v>32</v>
      </c>
      <c r="F14" s="47">
        <f ca="1">NOW()+15018.5+$C$5/24</f>
        <v>60520.863533101852</v>
      </c>
    </row>
    <row r="15" spans="1:12" ht="12.95" customHeight="1" x14ac:dyDescent="0.2">
      <c r="A15" s="14" t="s">
        <v>19</v>
      </c>
      <c r="B15" s="11"/>
      <c r="C15" s="15">
        <f ca="1">(C7+C11)+(C8+C12)*INT(MAX(F21:F3533))</f>
        <v>58027.53807056947</v>
      </c>
      <c r="E15" s="45" t="s">
        <v>41</v>
      </c>
      <c r="F15" s="47">
        <f ca="1">ROUND(2*($F$14-$C$7)/$C$8,0)/2+$F$13</f>
        <v>8023</v>
      </c>
    </row>
    <row r="16" spans="1:12" ht="12.95" customHeight="1" x14ac:dyDescent="0.2">
      <c r="A16" s="17" t="s">
        <v>6</v>
      </c>
      <c r="B16" s="11"/>
      <c r="C16" s="18">
        <f ca="1">+C8+C12</f>
        <v>0.94267917186039485</v>
      </c>
      <c r="E16" s="45" t="s">
        <v>33</v>
      </c>
      <c r="F16" s="47">
        <f ca="1">ROUND(2*($F$14-$C$15)/$C$16,0)/2+$F$13</f>
        <v>2646</v>
      </c>
    </row>
    <row r="17" spans="1:17" ht="12.95" customHeight="1" thickBot="1" x14ac:dyDescent="0.25">
      <c r="A17" s="16" t="s">
        <v>29</v>
      </c>
      <c r="B17" s="11"/>
      <c r="C17" s="11">
        <f>COUNT(C21:C2191)</f>
        <v>6</v>
      </c>
      <c r="E17" s="45" t="s">
        <v>50</v>
      </c>
      <c r="F17" s="48">
        <f ca="1">+$C$15+$C$16*$F$16-15018.5-$C$5/24</f>
        <v>45503.76299264541</v>
      </c>
    </row>
    <row r="18" spans="1:17" ht="12.95" customHeight="1" thickTop="1" thickBot="1" x14ac:dyDescent="0.25">
      <c r="A18" s="17" t="s">
        <v>7</v>
      </c>
      <c r="B18" s="11"/>
      <c r="C18" s="20">
        <f ca="1">+C15</f>
        <v>58027.53807056947</v>
      </c>
      <c r="D18" s="21">
        <f ca="1">+C16</f>
        <v>0.94267917186039485</v>
      </c>
      <c r="E18" s="50" t="s">
        <v>51</v>
      </c>
      <c r="F18" s="49">
        <f ca="1">+($C$15+$C$16*$F$16)-($C$16/2)-15018.5-$C$5/24</f>
        <v>45503.291653059481</v>
      </c>
    </row>
    <row r="19" spans="1:17" ht="12.95" customHeight="1" thickTop="1" x14ac:dyDescent="0.2">
      <c r="E19" s="16"/>
      <c r="F19" s="19"/>
    </row>
    <row r="20" spans="1:17" ht="12.95" customHeight="1" thickBot="1" x14ac:dyDescent="0.25">
      <c r="A20" s="3" t="s">
        <v>8</v>
      </c>
      <c r="B20" s="3" t="s">
        <v>9</v>
      </c>
      <c r="C20" s="3" t="s">
        <v>10</v>
      </c>
      <c r="D20" s="3" t="s">
        <v>14</v>
      </c>
      <c r="E20" s="3" t="s">
        <v>11</v>
      </c>
      <c r="F20" s="3" t="s">
        <v>12</v>
      </c>
      <c r="G20" s="3" t="s">
        <v>13</v>
      </c>
      <c r="H20" s="6" t="s">
        <v>2</v>
      </c>
      <c r="I20" s="6" t="s">
        <v>46</v>
      </c>
      <c r="J20" s="6" t="s">
        <v>0</v>
      </c>
      <c r="K20" s="6" t="s">
        <v>1</v>
      </c>
      <c r="L20" s="6" t="s">
        <v>26</v>
      </c>
      <c r="M20" s="6" t="s">
        <v>27</v>
      </c>
      <c r="N20" s="6" t="s">
        <v>28</v>
      </c>
      <c r="O20" s="6" t="s">
        <v>24</v>
      </c>
      <c r="P20" s="5" t="s">
        <v>23</v>
      </c>
      <c r="Q20" s="3" t="s">
        <v>16</v>
      </c>
    </row>
    <row r="21" spans="1:17" ht="12.95" customHeight="1" x14ac:dyDescent="0.2">
      <c r="A21" t="s">
        <v>38</v>
      </c>
      <c r="C21" s="9">
        <v>52648.61</v>
      </c>
      <c r="D21" s="9" t="s">
        <v>15</v>
      </c>
      <c r="E21">
        <f t="shared" ref="E21:E26" si="0">+(C21-C$7)/C$8</f>
        <v>-328.99680700972726</v>
      </c>
      <c r="F21">
        <f t="shared" ref="F21:F26" si="1">ROUND(2*E21,0)/2</f>
        <v>-329</v>
      </c>
      <c r="G21">
        <f t="shared" ref="G21:G26" si="2">+C21-(C$7+F21*C$8)</f>
        <v>3.0100000003585592E-3</v>
      </c>
      <c r="I21">
        <f>+G21</f>
        <v>3.0100000003585592E-3</v>
      </c>
      <c r="O21">
        <f t="shared" ref="O21:O26" ca="1" si="3">+C$11+C$12*$F21</f>
        <v>3.7259340585508401E-3</v>
      </c>
      <c r="Q21" s="2">
        <f t="shared" ref="Q21:Q26" si="4">+C21-15018.5</f>
        <v>37630.11</v>
      </c>
    </row>
    <row r="22" spans="1:17" ht="12.95" customHeight="1" x14ac:dyDescent="0.2">
      <c r="A22" t="s">
        <v>52</v>
      </c>
      <c r="C22" s="9">
        <v>52958.752</v>
      </c>
      <c r="D22" s="9"/>
      <c r="E22">
        <f t="shared" si="0"/>
        <v>0</v>
      </c>
      <c r="F22">
        <f t="shared" si="1"/>
        <v>0</v>
      </c>
      <c r="G22">
        <f t="shared" si="2"/>
        <v>0</v>
      </c>
      <c r="K22">
        <f>+G22</f>
        <v>0</v>
      </c>
      <c r="O22">
        <f t="shared" ca="1" si="3"/>
        <v>1.6347612845200518E-4</v>
      </c>
      <c r="Q22" s="2">
        <f t="shared" si="4"/>
        <v>37940.252</v>
      </c>
    </row>
    <row r="23" spans="1:17" ht="12.95" customHeight="1" x14ac:dyDescent="0.2">
      <c r="A23" s="32" t="s">
        <v>42</v>
      </c>
      <c r="B23" s="33" t="s">
        <v>43</v>
      </c>
      <c r="C23" s="32">
        <v>55866.918799999999</v>
      </c>
      <c r="D23" s="32">
        <v>5.9999999999999995E-4</v>
      </c>
      <c r="E23">
        <f t="shared" si="0"/>
        <v>3084.9662137075802</v>
      </c>
      <c r="F23">
        <f t="shared" si="1"/>
        <v>3085</v>
      </c>
      <c r="G23">
        <f t="shared" si="2"/>
        <v>-3.184999999939464E-2</v>
      </c>
      <c r="K23">
        <f>+G23</f>
        <v>-3.184999999939464E-2</v>
      </c>
      <c r="O23">
        <f t="shared" ca="1" si="3"/>
        <v>-3.3241334553477803E-2</v>
      </c>
      <c r="Q23" s="2">
        <f t="shared" si="4"/>
        <v>40848.418799999999</v>
      </c>
    </row>
    <row r="24" spans="1:17" ht="12.95" customHeight="1" x14ac:dyDescent="0.2">
      <c r="A24" s="28" t="s">
        <v>45</v>
      </c>
      <c r="B24" s="34" t="s">
        <v>43</v>
      </c>
      <c r="C24" s="35">
        <v>56282.639799999997</v>
      </c>
      <c r="D24" s="35">
        <v>4.0000000000000002E-4</v>
      </c>
      <c r="E24">
        <f t="shared" si="0"/>
        <v>3525.9606021067334</v>
      </c>
      <c r="F24">
        <f t="shared" si="1"/>
        <v>3526</v>
      </c>
      <c r="G24">
        <f t="shared" si="2"/>
        <v>-3.7140000000363216E-2</v>
      </c>
      <c r="K24">
        <f>+G24</f>
        <v>-3.7140000000363216E-2</v>
      </c>
      <c r="O24">
        <f t="shared" ca="1" si="3"/>
        <v>-3.8016544119354956E-2</v>
      </c>
      <c r="Q24" s="2">
        <f t="shared" si="4"/>
        <v>41264.139799999997</v>
      </c>
    </row>
    <row r="25" spans="1:17" ht="12.95" customHeight="1" x14ac:dyDescent="0.2">
      <c r="A25" s="36" t="s">
        <v>47</v>
      </c>
      <c r="B25" s="37" t="s">
        <v>43</v>
      </c>
      <c r="C25" s="38">
        <v>56937.801079999997</v>
      </c>
      <c r="D25" s="38">
        <v>1E-4</v>
      </c>
      <c r="E25">
        <f t="shared" si="0"/>
        <v>4220.9518293394403</v>
      </c>
      <c r="F25">
        <f t="shared" si="1"/>
        <v>4221</v>
      </c>
      <c r="G25">
        <f t="shared" si="2"/>
        <v>-4.5410000006086193E-2</v>
      </c>
      <c r="K25">
        <f>+G25</f>
        <v>-4.5410000006086193E-2</v>
      </c>
      <c r="O25">
        <f t="shared" ca="1" si="3"/>
        <v>-4.5542101144943684E-2</v>
      </c>
      <c r="Q25" s="2">
        <f t="shared" si="4"/>
        <v>41919.301079999997</v>
      </c>
    </row>
    <row r="26" spans="1:17" ht="12.95" customHeight="1" x14ac:dyDescent="0.2">
      <c r="A26" s="39" t="s">
        <v>48</v>
      </c>
      <c r="B26" s="40" t="s">
        <v>43</v>
      </c>
      <c r="C26" s="41">
        <v>58027.536549999844</v>
      </c>
      <c r="D26" s="41">
        <v>1E-4</v>
      </c>
      <c r="E26">
        <f t="shared" si="0"/>
        <v>5376.9367978867322</v>
      </c>
      <c r="F26">
        <f t="shared" si="1"/>
        <v>5377</v>
      </c>
      <c r="G26">
        <f t="shared" si="2"/>
        <v>-5.9580000153800938E-2</v>
      </c>
      <c r="K26">
        <f>+G26</f>
        <v>-5.9580000153800938E-2</v>
      </c>
      <c r="O26">
        <f t="shared" ca="1" si="3"/>
        <v>-5.805943052851284E-2</v>
      </c>
      <c r="Q26" s="2">
        <f t="shared" si="4"/>
        <v>43009.036549999844</v>
      </c>
    </row>
    <row r="27" spans="1:17" ht="12.95" customHeight="1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rotectedRanges>
    <protectedRange sqref="A25:D25" name="Range1"/>
  </protectedRanges>
  <sortState xmlns:xlrd2="http://schemas.microsoft.com/office/spreadsheetml/2017/richdata2" ref="A21:Q30">
    <sortCondition ref="C21:C30"/>
  </sortState>
  <phoneticPr fontId="8" type="noConversion"/>
  <hyperlinks>
    <hyperlink ref="H474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2024-07-29T08:43:29Z</dcterms:modified>
</cp:coreProperties>
</file>