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38AF0C3-199A-460F-BA98-BC080A34FB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 s="1"/>
  <c r="G22" i="1" s="1"/>
  <c r="I22" i="1" s="1"/>
  <c r="E23" i="1"/>
  <c r="F23" i="1"/>
  <c r="G23" i="1" s="1"/>
  <c r="I23" i="1" s="1"/>
  <c r="G11" i="1"/>
  <c r="F11" i="1"/>
  <c r="Q22" i="1"/>
  <c r="Q23" i="1"/>
  <c r="C21" i="1"/>
  <c r="E21" i="1"/>
  <c r="F21" i="1" s="1"/>
  <c r="G21" i="1" s="1"/>
  <c r="H21" i="1" s="1"/>
  <c r="A21" i="1"/>
  <c r="H20" i="1"/>
  <c r="Q21" i="1"/>
  <c r="C17" i="1"/>
  <c r="C12" i="1"/>
  <c r="F15" i="1" l="1"/>
  <c r="C16" i="1"/>
  <c r="D18" i="1" s="1"/>
  <c r="C11" i="1"/>
  <c r="C15" i="1" l="1"/>
  <c r="O22" i="1"/>
  <c r="S22" i="1" s="1"/>
  <c r="O23" i="1"/>
  <c r="S23" i="1" s="1"/>
  <c r="O21" i="1"/>
  <c r="S21" i="1" s="1"/>
  <c r="F16" i="1" l="1"/>
  <c r="F17" i="1" s="1"/>
  <c r="S19" i="1"/>
  <c r="C18" i="1"/>
  <c r="F18" i="1" l="1"/>
</calcChain>
</file>

<file path=xl/sharedStrings.xml><?xml version="1.0" encoding="utf-8"?>
<sst xmlns="http://schemas.openxmlformats.org/spreadsheetml/2006/main" count="59" uniqueCount="55">
  <si>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</si>
  <si>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</si>
  <si>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</si>
  <si>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</si>
  <si>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</si>
  <si>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</si>
  <si>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</si>
  <si>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</si>
  <si>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</si>
  <si>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</si>
  <si>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</si>
  <si>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</si>
  <si>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</si>
  <si>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</si>
  <si>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</si>
  <si>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</si>
  <si>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</si>
  <si>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</si>
  <si>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</si>
  <si>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</si>
  <si>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</si>
  <si>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</si>
  <si>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</si>
  <si>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</si>
  <si>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</si>
  <si>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</si>
  <si>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</si>
  <si>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</si>
  <si>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</si>
  <si>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</si>
  <si>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</si>
  <si>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</si>
  <si>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</si>
  <si>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</si>
  <si>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</si>
  <si>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</si>
  <si>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</si>
  <si>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</si>
  <si>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</si>
  <si>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</si>
  <si>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G5297-0974</t>
  </si>
  <si>
    <t>G5297-0974_Eri.xls</t>
  </si>
  <si>
    <t>ESDED</t>
  </si>
  <si>
    <t>Eri</t>
  </si>
  <si>
    <t>VSX</t>
  </si>
  <si>
    <t>IBVS 5894</t>
  </si>
  <si>
    <t>I</t>
  </si>
  <si>
    <t>IBVS 5920</t>
  </si>
  <si>
    <t>CCD</t>
  </si>
  <si>
    <t>MX Eri / GSC 5297-0974</t>
  </si>
  <si>
    <t xml:space="preserve">Mag </t>
  </si>
  <si>
    <t>Next ToM-P</t>
  </si>
  <si>
    <t>Next ToM-S</t>
  </si>
  <si>
    <t>12.55-13.80</t>
  </si>
  <si>
    <t>Old VSX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</si>
</sst>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7030A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15" fillId="3" borderId="8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right" vertical="center"/>
    </xf>
    <xf numFmtId="0" fontId="18" fillId="0" borderId="10" xfId="0" applyFont="1" applyBorder="1" applyAlignment="1"/>
    <xf numFmtId="0" fontId="17" fillId="0" borderId="10" xfId="0" applyFont="1" applyBorder="1" applyAlignment="1"/>
    <xf numFmtId="22" fontId="19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/>
    <xf numFmtId="22" fontId="17" fillId="0" borderId="11" xfId="0" applyNumberFormat="1" applyFont="1" applyBorder="1" applyAlignment="1"/>
    <xf numFmtId="0" fontId="19" fillId="0" borderId="12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MX Eri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</c:v>
                </c:pt>
                <c:pt idx="2">
                  <c:v>171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68-422E-BACC-B6832E0A860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</c:v>
                </c:pt>
                <c:pt idx="2">
                  <c:v>171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-1.5682999764976557E-2</c:v>
                </c:pt>
                <c:pt idx="2">
                  <c:v>-1.6636999767797533E-2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68-422E-BACC-B6832E0A860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</c:v>
                </c:pt>
                <c:pt idx="2">
                  <c:v>171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68-422E-BACC-B6832E0A860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</c:v>
                </c:pt>
                <c:pt idx="2">
                  <c:v>171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68-422E-BACC-B6832E0A860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</c:v>
                </c:pt>
                <c:pt idx="2">
                  <c:v>171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68-422E-BACC-B6832E0A860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</c:v>
                </c:pt>
                <c:pt idx="2">
                  <c:v>171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68-422E-BACC-B6832E0A860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</c:v>
                </c:pt>
                <c:pt idx="2">
                  <c:v>171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68-422E-BACC-B6832E0A860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</c:v>
                </c:pt>
                <c:pt idx="2">
                  <c:v>171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-2.2442281912025443E-3</c:v>
                </c:pt>
                <c:pt idx="1">
                  <c:v>-1.1002962927224908E-2</c:v>
                </c:pt>
                <c:pt idx="2">
                  <c:v>-1.9072808414346634E-2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68-422E-BACC-B6832E0A860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</c:v>
                </c:pt>
                <c:pt idx="2">
                  <c:v>171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A68-422E-BACC-B6832E0A8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0221216"/>
        <c:axId val="1"/>
      </c:scatterChart>
      <c:valAx>
        <c:axId val="800221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0221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7C24B53-80F4-53D8-7780-7D6C110ED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F5" sqref="F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710937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0" t="s">
        <v>49</v>
      </c>
      <c r="E1" t="s">
        <v>41</v>
      </c>
    </row>
    <row r="2" spans="1:7" x14ac:dyDescent="0.2">
      <c r="A2" t="s">
        <v>23</v>
      </c>
      <c r="B2" t="s">
        <v>42</v>
      </c>
      <c r="C2" s="26" t="s">
        <v>39</v>
      </c>
      <c r="D2" s="2" t="s">
        <v>43</v>
      </c>
      <c r="E2" s="27" t="s">
        <v>40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4" t="s">
        <v>38</v>
      </c>
      <c r="D4" s="25" t="s">
        <v>38</v>
      </c>
    </row>
    <row r="5" spans="1:7" ht="13.5" thickTop="1" x14ac:dyDescent="0.2"/>
    <row r="6" spans="1:7" x14ac:dyDescent="0.2">
      <c r="A6" s="4" t="s">
        <v>1</v>
      </c>
    </row>
    <row r="7" spans="1:7" x14ac:dyDescent="0.2">
      <c r="A7" t="s">
        <v>2</v>
      </c>
      <c r="C7" s="31">
        <v>54535.526999999769</v>
      </c>
      <c r="D7" s="32" t="s">
        <v>44</v>
      </c>
      <c r="E7" s="33" t="s">
        <v>54</v>
      </c>
    </row>
    <row r="8" spans="1:7" x14ac:dyDescent="0.2">
      <c r="A8" t="s">
        <v>3</v>
      </c>
      <c r="C8" s="31">
        <v>3.4175469999999999</v>
      </c>
      <c r="D8" s="32" t="s">
        <v>44</v>
      </c>
      <c r="E8" s="34">
        <v>0.3601105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18">
        <f ca="1">INTERCEPT(INDIRECT($G$11):G992,INDIRECT($F$11):F992)</f>
        <v>-2.2442281912025443E-3</v>
      </c>
      <c r="D11" s="2"/>
      <c r="E11" s="9"/>
      <c r="F11" s="19" t="str">
        <f>"F"&amp;E19</f>
        <v>F21</v>
      </c>
      <c r="G11" s="20" t="str">
        <f>"G"&amp;E19</f>
        <v>G21</v>
      </c>
    </row>
    <row r="12" spans="1:7" x14ac:dyDescent="0.2">
      <c r="A12" s="9" t="s">
        <v>16</v>
      </c>
      <c r="B12" s="9"/>
      <c r="C12" s="18">
        <f ca="1">SLOPE(INDIRECT($G$11):G992,INDIRECT($F$11):F992)</f>
        <v>-9.8412749842947898E-5</v>
      </c>
      <c r="D12" s="2"/>
      <c r="E12" s="35" t="s">
        <v>50</v>
      </c>
      <c r="F12" s="36" t="s">
        <v>53</v>
      </c>
    </row>
    <row r="13" spans="1:7" x14ac:dyDescent="0.2">
      <c r="A13" s="9" t="s">
        <v>18</v>
      </c>
      <c r="B13" s="9"/>
      <c r="C13" s="2" t="s">
        <v>13</v>
      </c>
      <c r="D13" s="13"/>
      <c r="E13" s="37" t="s">
        <v>35</v>
      </c>
      <c r="F13" s="38">
        <v>1</v>
      </c>
    </row>
    <row r="14" spans="1:7" x14ac:dyDescent="0.2">
      <c r="A14" s="9"/>
      <c r="B14" s="9"/>
      <c r="C14" s="9"/>
      <c r="D14" s="13"/>
      <c r="E14" s="37" t="s">
        <v>32</v>
      </c>
      <c r="F14" s="39">
        <f ca="1">NOW()+15018.5+$C$9/24</f>
        <v>60520.864413425923</v>
      </c>
    </row>
    <row r="15" spans="1:7" x14ac:dyDescent="0.2">
      <c r="A15" s="11" t="s">
        <v>17</v>
      </c>
      <c r="B15" s="9"/>
      <c r="C15" s="12">
        <f ca="1">(C7+C11)+(C8+C12)*INT(MAX(F21:F3533))</f>
        <v>55119.908464191358</v>
      </c>
      <c r="D15" s="13"/>
      <c r="E15" s="37" t="s">
        <v>36</v>
      </c>
      <c r="F15" s="39">
        <f ca="1">ROUND(2*($F$14-$C$7)/$C$8,0)/2+$F$13</f>
        <v>1752.5</v>
      </c>
    </row>
    <row r="16" spans="1:7" x14ac:dyDescent="0.2">
      <c r="A16" s="14" t="s">
        <v>4</v>
      </c>
      <c r="B16" s="9"/>
      <c r="C16" s="15">
        <f ca="1">+C8+C12</f>
        <v>3.4174485872501568</v>
      </c>
      <c r="D16" s="13"/>
      <c r="E16" s="37" t="s">
        <v>37</v>
      </c>
      <c r="F16" s="39">
        <f ca="1">ROUND(2*($F$14-$C$15)/$C$16,0)/2+$F$13</f>
        <v>1581.5</v>
      </c>
    </row>
    <row r="17" spans="1:19" ht="13.5" thickBot="1" x14ac:dyDescent="0.25">
      <c r="A17" s="13" t="s">
        <v>29</v>
      </c>
      <c r="B17" s="9"/>
      <c r="C17" s="9">
        <f>COUNT(C21:C2191)</f>
        <v>3</v>
      </c>
      <c r="D17" s="13"/>
      <c r="E17" s="40" t="s">
        <v>51</v>
      </c>
      <c r="F17" s="41">
        <f ca="1">+$C$15+$C$16*$F$16-15018.5-$C$9/24</f>
        <v>45506.499238260818</v>
      </c>
    </row>
    <row r="18" spans="1:19" ht="14.25" thickTop="1" thickBot="1" x14ac:dyDescent="0.25">
      <c r="A18" s="14" t="s">
        <v>5</v>
      </c>
      <c r="B18" s="9"/>
      <c r="C18" s="16">
        <f ca="1">+C15</f>
        <v>55119.908464191358</v>
      </c>
      <c r="D18" s="17">
        <f ca="1">+C16</f>
        <v>3.4174485872501568</v>
      </c>
      <c r="E18" s="43" t="s">
        <v>52</v>
      </c>
      <c r="F18" s="42">
        <f ca="1">+($C$15+$C$16*$F$16)-($C$16/2)-15018.5-$C$9/24</f>
        <v>45504.790513967193</v>
      </c>
    </row>
    <row r="19" spans="1:19" ht="13.5" thickTop="1" x14ac:dyDescent="0.2">
      <c r="A19" s="21" t="s">
        <v>33</v>
      </c>
      <c r="E19" s="22">
        <v>21</v>
      </c>
      <c r="S19">
        <f ca="1">SQRT(SUM(S21:S50)/(COUNT(S21:S50)-1))</f>
        <v>4.0541625978433608E-3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48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3" t="s">
        <v>34</v>
      </c>
    </row>
    <row r="21" spans="1:19" x14ac:dyDescent="0.2">
      <c r="A21" t="str">
        <f>D7</f>
        <v>VSX</v>
      </c>
      <c r="C21" s="7">
        <f>C$7</f>
        <v>54535.526999999769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-2.2442281912025443E-3</v>
      </c>
      <c r="Q21" s="1">
        <f>+C21-15018.5</f>
        <v>39517.026999999769</v>
      </c>
      <c r="S21">
        <f ca="1">+(O21-G21)^2</f>
        <v>5.0365601741882437E-6</v>
      </c>
    </row>
    <row r="22" spans="1:19" x14ac:dyDescent="0.2">
      <c r="A22" s="28" t="s">
        <v>45</v>
      </c>
      <c r="B22" s="29" t="s">
        <v>46</v>
      </c>
      <c r="C22" s="28">
        <v>54839.673000000003</v>
      </c>
      <c r="D22" s="28">
        <v>1.2999999999999999E-3</v>
      </c>
      <c r="E22">
        <f>+(C22-C$7)/C$8</f>
        <v>88.995411036112586</v>
      </c>
      <c r="F22">
        <f>ROUND(2*E22,0)/2</f>
        <v>89</v>
      </c>
      <c r="G22">
        <f>+C22-(C$7+F22*C$8)</f>
        <v>-1.5682999764976557E-2</v>
      </c>
      <c r="I22">
        <f>+G22</f>
        <v>-1.5682999764976557E-2</v>
      </c>
      <c r="O22">
        <f ca="1">+C$11+C$12*$F22</f>
        <v>-1.1002962927224908E-2</v>
      </c>
      <c r="Q22" s="1">
        <f>+C22-15018.5</f>
        <v>39821.173000000003</v>
      </c>
      <c r="S22">
        <f ca="1">+(O22-G22)^2</f>
        <v>2.190274480271246E-5</v>
      </c>
    </row>
    <row r="23" spans="1:19" x14ac:dyDescent="0.2">
      <c r="A23" s="28" t="s">
        <v>47</v>
      </c>
      <c r="B23" s="29" t="s">
        <v>46</v>
      </c>
      <c r="C23" s="28">
        <v>55119.910900000003</v>
      </c>
      <c r="D23" s="28">
        <v>5.0000000000000001E-4</v>
      </c>
      <c r="E23">
        <f>+(C23-C$7)/C$8</f>
        <v>170.99513188852518</v>
      </c>
      <c r="F23">
        <f>ROUND(2*E23,0)/2</f>
        <v>171</v>
      </c>
      <c r="G23">
        <f>+C23-(C$7+F23*C$8)</f>
        <v>-1.6636999767797533E-2</v>
      </c>
      <c r="I23">
        <f>+G23</f>
        <v>-1.6636999767797533E-2</v>
      </c>
      <c r="O23">
        <f ca="1">+C$11+C$12*$F23</f>
        <v>-1.9072808414346634E-2</v>
      </c>
      <c r="Q23" s="1">
        <f>+C23-15018.5</f>
        <v>40101.410900000003</v>
      </c>
      <c r="S23">
        <f ca="1">+(O23-G23)^2</f>
        <v>5.9331637626033592E-6</v>
      </c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2024-07-29T08:44:45Z</dcterms:modified>
</cp:coreProperties>
</file>