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816BC8-F28A-49AB-B128-3D47E76337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C17" i="1"/>
  <c r="Q21" i="1"/>
  <c r="C11" i="1"/>
  <c r="F15" i="1" l="1"/>
  <c r="C12" i="1"/>
  <c r="C15" i="1" l="1"/>
  <c r="O22" i="1"/>
  <c r="S22" i="1" s="1"/>
  <c r="C16" i="1"/>
  <c r="D18" i="1" s="1"/>
  <c r="O21" i="1"/>
  <c r="S21" i="1" s="1"/>
  <c r="O23" i="1"/>
  <c r="S23" i="1" s="1"/>
  <c r="O24" i="1"/>
  <c r="S24" i="1" s="1"/>
  <c r="F16" i="1" l="1"/>
  <c r="F17" i="1" s="1"/>
  <c r="S19" i="1"/>
  <c r="C18" i="1"/>
  <c r="F18" i="1" l="1"/>
</calcChain>
</file>

<file path=xl/sharedStrings.xml><?xml version="1.0" encoding="utf-8"?>
<sst xmlns="http://schemas.openxmlformats.org/spreadsheetml/2006/main" count="61" uniqueCount="56">
  <si>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</si>
  <si>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</si>
  <si>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</si>
  <si>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</si>
  <si>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</si>
  <si>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</si>
  <si>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</si>
  <si>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</si>
  <si>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</si>
  <si>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</si>
  <si>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</si>
  <si>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</si>
  <si>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</si>
  <si>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</si>
  <si>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</si>
  <si>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</si>
  <si>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</si>
  <si>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</si>
  <si>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</si>
  <si>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</si>
  <si>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</si>
  <si>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</si>
  <si>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</si>
  <si>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</si>
  <si>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</si>
  <si>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</si>
  <si>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</si>
  <si>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</si>
  <si>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</si>
  <si>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</si>
  <si>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</si>
  <si>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</si>
  <si>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</si>
  <si>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</si>
  <si>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</si>
  <si>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</si>
  <si>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</si>
  <si>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</si>
  <si>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</si>
  <si>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G5314-2102</t>
  </si>
  <si>
    <t>G5314-2102_Eri.xls</t>
  </si>
  <si>
    <t>EW</t>
  </si>
  <si>
    <t>Eri</t>
  </si>
  <si>
    <t>VSX</t>
  </si>
  <si>
    <t>IBVS 5960</t>
  </si>
  <si>
    <t>I</t>
  </si>
  <si>
    <t>IBVS 6011</t>
  </si>
  <si>
    <t>II</t>
  </si>
  <si>
    <t>IBVS 6063</t>
  </si>
  <si>
    <t>CCD</t>
  </si>
  <si>
    <t>OO Eri / GSC 5314-2102</t>
  </si>
  <si>
    <t xml:space="preserve">Mag </t>
  </si>
  <si>
    <t>Next ToM-P</t>
  </si>
  <si>
    <t>Next ToM-S</t>
  </si>
  <si>
    <t>11.40-12.05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</si>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</sst>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17" fillId="0" borderId="0" xfId="0" applyFont="1" applyAlignment="1"/>
    <xf numFmtId="0" fontId="19" fillId="0" borderId="0" xfId="0" applyFont="1" applyAlignment="1"/>
    <xf numFmtId="0" fontId="0" fillId="3" borderId="5" xfId="0" applyFill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OO Eri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</c:v>
                </c:pt>
                <c:pt idx="2">
                  <c:v>1564.5</c:v>
                </c:pt>
                <c:pt idx="3">
                  <c:v>2491.5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B9-4D78-8025-CF8E6FAEE9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</c:v>
                </c:pt>
                <c:pt idx="2">
                  <c:v>1564.5</c:v>
                </c:pt>
                <c:pt idx="3">
                  <c:v>2491.5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7.3600000032456592E-3</c:v>
                </c:pt>
                <c:pt idx="2">
                  <c:v>4.934999997203704E-3</c:v>
                </c:pt>
                <c:pt idx="3">
                  <c:v>3.5449999923002906E-3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B9-4D78-8025-CF8E6FAEE9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</c:v>
                </c:pt>
                <c:pt idx="2">
                  <c:v>1564.5</c:v>
                </c:pt>
                <c:pt idx="3">
                  <c:v>2491.5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B9-4D78-8025-CF8E6FAEE9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</c:v>
                </c:pt>
                <c:pt idx="2">
                  <c:v>1564.5</c:v>
                </c:pt>
                <c:pt idx="3">
                  <c:v>2491.5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B9-4D78-8025-CF8E6FAEE9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</c:v>
                </c:pt>
                <c:pt idx="2">
                  <c:v>1564.5</c:v>
                </c:pt>
                <c:pt idx="3">
                  <c:v>2491.5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B9-4D78-8025-CF8E6FAEE9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</c:v>
                </c:pt>
                <c:pt idx="2">
                  <c:v>1564.5</c:v>
                </c:pt>
                <c:pt idx="3">
                  <c:v>2491.5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B9-4D78-8025-CF8E6FAEE9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</c:v>
                </c:pt>
                <c:pt idx="2">
                  <c:v>1564.5</c:v>
                </c:pt>
                <c:pt idx="3">
                  <c:v>2491.5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B9-4D78-8025-CF8E6FAEE9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</c:v>
                </c:pt>
                <c:pt idx="2">
                  <c:v>1564.5</c:v>
                </c:pt>
                <c:pt idx="3">
                  <c:v>2491.5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8.7934481078344087E-3</c:v>
                </c:pt>
                <c:pt idx="1">
                  <c:v>7.1264198014761226E-3</c:v>
                </c:pt>
                <c:pt idx="2">
                  <c:v>5.370789596945251E-3</c:v>
                </c:pt>
                <c:pt idx="3">
                  <c:v>3.342790594328281E-3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B9-4D78-8025-CF8E6FAEE9C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</c:v>
                </c:pt>
                <c:pt idx="2">
                  <c:v>1564.5</c:v>
                </c:pt>
                <c:pt idx="3">
                  <c:v>2491.5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B9-4D78-8025-CF8E6FAEE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79384"/>
        <c:axId val="1"/>
      </c:scatterChart>
      <c:valAx>
        <c:axId val="794279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79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BABEF2-3EF4-F863-1339-158D2892A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140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50</v>
      </c>
      <c r="E1" t="s">
        <v>40</v>
      </c>
    </row>
    <row r="2" spans="1:7" x14ac:dyDescent="0.2">
      <c r="A2" t="s">
        <v>23</v>
      </c>
      <c r="B2" t="s">
        <v>41</v>
      </c>
      <c r="C2" s="27" t="s">
        <v>38</v>
      </c>
      <c r="D2" s="2" t="s">
        <v>42</v>
      </c>
      <c r="E2" s="28" t="s">
        <v>39</v>
      </c>
      <c r="F2" t="s">
        <v>39</v>
      </c>
    </row>
    <row r="3" spans="1:7" ht="13.5" thickBot="1" x14ac:dyDescent="0.25"/>
    <row r="4" spans="1:7" ht="14.25" thickTop="1" thickBot="1" x14ac:dyDescent="0.25">
      <c r="A4" s="4" t="s">
        <v>0</v>
      </c>
      <c r="C4" s="24" t="s">
        <v>37</v>
      </c>
      <c r="D4" s="25" t="s">
        <v>37</v>
      </c>
    </row>
    <row r="6" spans="1:7" x14ac:dyDescent="0.2">
      <c r="A6" s="4" t="s">
        <v>1</v>
      </c>
    </row>
    <row r="7" spans="1:7" x14ac:dyDescent="0.2">
      <c r="A7" t="s">
        <v>2</v>
      </c>
      <c r="C7" s="34">
        <v>55154.741000000002</v>
      </c>
      <c r="D7" s="26" t="s">
        <v>43</v>
      </c>
    </row>
    <row r="8" spans="1:7" x14ac:dyDescent="0.2">
      <c r="A8" t="s">
        <v>3</v>
      </c>
      <c r="C8" s="34">
        <v>0.46477000000000002</v>
      </c>
      <c r="D8" s="26" t="s">
        <v>43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8">
        <f ca="1">INTERCEPT(INDIRECT($G$11):G992,INDIRECT($F$11):F992)</f>
        <v>8.7934481078344087E-3</v>
      </c>
      <c r="D11" s="2"/>
      <c r="E11" s="9"/>
      <c r="F11" s="19" t="str">
        <f>"F"&amp;E19</f>
        <v>F22</v>
      </c>
      <c r="G11" s="20" t="str">
        <f>"G"&amp;E19</f>
        <v>G22</v>
      </c>
    </row>
    <row r="12" spans="1:7" x14ac:dyDescent="0.2">
      <c r="A12" s="9" t="s">
        <v>16</v>
      </c>
      <c r="B12" s="9"/>
      <c r="C12" s="18">
        <f ca="1">SLOPE(INDIRECT($G$11):G992,INDIRECT($F$11):F992)</f>
        <v>-2.1877011894465695E-6</v>
      </c>
      <c r="D12" s="2"/>
      <c r="E12" s="37" t="s">
        <v>51</v>
      </c>
      <c r="F12" s="38" t="s">
        <v>54</v>
      </c>
    </row>
    <row r="13" spans="1:7" x14ac:dyDescent="0.2">
      <c r="A13" s="9" t="s">
        <v>18</v>
      </c>
      <c r="B13" s="9"/>
      <c r="C13" s="2" t="s">
        <v>13</v>
      </c>
      <c r="D13" s="13"/>
      <c r="E13" s="39" t="s">
        <v>34</v>
      </c>
      <c r="F13" s="40">
        <v>1</v>
      </c>
    </row>
    <row r="14" spans="1:7" x14ac:dyDescent="0.2">
      <c r="A14" s="9"/>
      <c r="B14" s="9"/>
      <c r="C14" s="9"/>
      <c r="D14" s="13"/>
      <c r="E14" s="39" t="s">
        <v>31</v>
      </c>
      <c r="F14" s="41">
        <f ca="1">NOW()+15018.5+$C$9/24</f>
        <v>60520.866036111111</v>
      </c>
      <c r="G14" s="36"/>
    </row>
    <row r="15" spans="1:7" x14ac:dyDescent="0.2">
      <c r="A15" s="11" t="s">
        <v>17</v>
      </c>
      <c r="B15" s="9"/>
      <c r="C15" s="12">
        <f ca="1">(C7+C11)+(C8+C12)*INT(MAX(F21:F3533))</f>
        <v>56312.486413884442</v>
      </c>
      <c r="D15" s="13"/>
      <c r="E15" s="39" t="s">
        <v>35</v>
      </c>
      <c r="F15" s="41">
        <f ca="1">ROUND(2*($F$14-$C$7)/$C$8,0)/2+$F$13</f>
        <v>11547</v>
      </c>
      <c r="G15" s="36"/>
    </row>
    <row r="16" spans="1:7" x14ac:dyDescent="0.2">
      <c r="A16" s="14" t="s">
        <v>4</v>
      </c>
      <c r="B16" s="9"/>
      <c r="C16" s="15">
        <f ca="1">+C8+C12</f>
        <v>0.46476781229881059</v>
      </c>
      <c r="D16" s="13"/>
      <c r="E16" s="39" t="s">
        <v>36</v>
      </c>
      <c r="F16" s="41">
        <f ca="1">ROUND(2*($F$14-$C$15)/$C$16,0)/2+$F$13</f>
        <v>9056</v>
      </c>
      <c r="G16" s="36"/>
    </row>
    <row r="17" spans="1:19" ht="13.5" thickBot="1" x14ac:dyDescent="0.25">
      <c r="A17" s="13" t="s">
        <v>28</v>
      </c>
      <c r="B17" s="9"/>
      <c r="C17" s="9">
        <f>COUNT(C21:C2191)</f>
        <v>4</v>
      </c>
      <c r="D17" s="13"/>
      <c r="E17" s="42" t="s">
        <v>52</v>
      </c>
      <c r="F17" s="43">
        <f ca="1">+$C$15+$C$16*$F$16-15018.5-$C$9/24</f>
        <v>45503.319555395807</v>
      </c>
      <c r="G17" s="36"/>
    </row>
    <row r="18" spans="1:19" ht="14.25" thickTop="1" thickBot="1" x14ac:dyDescent="0.25">
      <c r="A18" s="14" t="s">
        <v>5</v>
      </c>
      <c r="B18" s="9"/>
      <c r="C18" s="16">
        <f ca="1">+C15</f>
        <v>56312.486413884442</v>
      </c>
      <c r="D18" s="17">
        <f ca="1">+C16</f>
        <v>0.46476781229881059</v>
      </c>
      <c r="E18" s="45" t="s">
        <v>53</v>
      </c>
      <c r="F18" s="44">
        <f ca="1">+($C$15+$C$16*$F$16)-($C$16/2)-15018.5-$C$9/24</f>
        <v>45503.087171489657</v>
      </c>
      <c r="G18" s="36"/>
    </row>
    <row r="19" spans="1:19" ht="13.5" thickTop="1" x14ac:dyDescent="0.2">
      <c r="A19" s="21" t="s">
        <v>32</v>
      </c>
      <c r="E19" s="22">
        <v>22</v>
      </c>
      <c r="S19">
        <f ca="1">SQRT(SUM(S21:S50)/(COUNT(S21:S50)-1))</f>
        <v>5.0862589576133573E-3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55</v>
      </c>
      <c r="J20" s="6" t="s">
        <v>49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33</v>
      </c>
    </row>
    <row r="21" spans="1:19" x14ac:dyDescent="0.2">
      <c r="A21" t="str">
        <f>D7</f>
        <v>VSX</v>
      </c>
      <c r="C21" s="7">
        <f>C$7</f>
        <v>55154.741000000002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8.7934481078344087E-3</v>
      </c>
      <c r="Q21" s="1">
        <f>+C21-15018.5</f>
        <v>40136.241000000002</v>
      </c>
      <c r="S21">
        <f ca="1">+(O21-G21)^2</f>
        <v>7.7324729625176541E-5</v>
      </c>
    </row>
    <row r="22" spans="1:19" x14ac:dyDescent="0.2">
      <c r="A22" s="29" t="s">
        <v>44</v>
      </c>
      <c r="B22" s="30" t="s">
        <v>45</v>
      </c>
      <c r="C22" s="29">
        <v>55508.903100000003</v>
      </c>
      <c r="D22" s="29">
        <v>5.9999999999999995E-4</v>
      </c>
      <c r="E22">
        <f>+(C22-C$7)/C$8</f>
        <v>762.01583578974839</v>
      </c>
      <c r="F22">
        <f>ROUND(2*E22,0)/2</f>
        <v>762</v>
      </c>
      <c r="G22">
        <f>+C22-(C$7+F22*C$8)</f>
        <v>7.3600000032456592E-3</v>
      </c>
      <c r="I22">
        <f>+G22</f>
        <v>7.3600000032456592E-3</v>
      </c>
      <c r="O22">
        <f ca="1">+C$11+C$12*$F22</f>
        <v>7.1264198014761226E-3</v>
      </c>
      <c r="Q22" s="1">
        <f>+C22-15018.5</f>
        <v>40490.403100000003</v>
      </c>
      <c r="S22">
        <f ca="1">+(O22-G22)^2</f>
        <v>5.4559710658697415E-8</v>
      </c>
    </row>
    <row r="23" spans="1:19" x14ac:dyDescent="0.2">
      <c r="A23" s="29" t="s">
        <v>46</v>
      </c>
      <c r="B23" s="30" t="s">
        <v>47</v>
      </c>
      <c r="C23" s="29">
        <v>55881.878599999996</v>
      </c>
      <c r="D23" s="29">
        <v>2.0000000000000001E-4</v>
      </c>
      <c r="E23">
        <f>+(C23-C$7)/C$8</f>
        <v>1564.5106181552048</v>
      </c>
      <c r="F23">
        <f>ROUND(2*E23,0)/2</f>
        <v>1564.5</v>
      </c>
      <c r="G23">
        <f>+C23-(C$7+F23*C$8)</f>
        <v>4.934999997203704E-3</v>
      </c>
      <c r="I23">
        <f>+G23</f>
        <v>4.934999997203704E-3</v>
      </c>
      <c r="O23">
        <f ca="1">+C$11+C$12*$F23</f>
        <v>5.370789596945251E-3</v>
      </c>
      <c r="Q23" s="1">
        <f>+C23-15018.5</f>
        <v>40863.378599999996</v>
      </c>
      <c r="S23">
        <f ca="1">+(O23-G23)^2</f>
        <v>1.8991257524289774E-7</v>
      </c>
    </row>
    <row r="24" spans="1:19" x14ac:dyDescent="0.2">
      <c r="A24" s="31" t="s">
        <v>48</v>
      </c>
      <c r="B24" s="32" t="s">
        <v>47</v>
      </c>
      <c r="C24" s="33">
        <v>56312.718999999997</v>
      </c>
      <c r="D24" s="33">
        <v>6.9999999999999999E-4</v>
      </c>
      <c r="E24">
        <f>+(C24-C$7)/C$8</f>
        <v>2491.5076274286107</v>
      </c>
      <c r="F24">
        <f>ROUND(2*E24,0)/2</f>
        <v>2491.5</v>
      </c>
      <c r="G24">
        <f>+C24-(C$7+F24*C$8)</f>
        <v>3.5449999923002906E-3</v>
      </c>
      <c r="I24">
        <f>+G24</f>
        <v>3.5449999923002906E-3</v>
      </c>
      <c r="O24">
        <f ca="1">+C$11+C$12*$F24</f>
        <v>3.342790594328281E-3</v>
      </c>
      <c r="Q24" s="1">
        <f>+C24-15018.5</f>
        <v>41294.218999999997</v>
      </c>
      <c r="S24">
        <f ca="1">+(O24-G24)^2</f>
        <v>4.0888640628202555E-8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2024-07-29T08:47:05Z</dcterms:modified>
</cp:coreProperties>
</file>