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C99AD66-B6E2-4940-B1F9-9488B6B35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A21" i="1"/>
  <c r="H20" i="1"/>
  <c r="G11" i="1"/>
  <c r="C17" i="1"/>
  <c r="Q21" i="1"/>
  <c r="C12" i="1"/>
  <c r="F15" i="1" l="1"/>
  <c r="C16" i="1"/>
  <c r="D18" i="1" s="1"/>
  <c r="C11" i="1"/>
  <c r="O23" i="1" l="1"/>
  <c r="S23" i="1" s="1"/>
  <c r="O21" i="1"/>
  <c r="S21" i="1" s="1"/>
  <c r="C15" i="1"/>
  <c r="O24" i="1"/>
  <c r="S24" i="1" s="1"/>
  <c r="O22" i="1"/>
  <c r="S22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<sst xmlns="http://schemas.openxmlformats.org/spreadsheetml/2006/main" count="61" uniqueCount="55">
  <si>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</si>
  <si>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</si>
  <si>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</si>
  <si>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</si>
  <si>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</si>
  <si>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</si>
  <si>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</si>
  <si>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</si>
  <si>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</si>
  <si>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</si>
  <si>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</si>
  <si>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</si>
  <si>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</si>
  <si>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</si>
  <si>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</si>
  <si>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</si>
  <si>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</si>
  <si>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</si>
  <si>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</si>
  <si>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</si>
  <si>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</si>
  <si>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</si>
  <si>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</si>
  <si>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</si>
  <si>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</si>
  <si>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</si>
  <si>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</si>
  <si>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</si>
  <si>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</si>
  <si>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</si>
  <si>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</si>
  <si>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</si>
  <si>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</si>
  <si>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</si>
  <si>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</si>
  <si>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</si>
  <si>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</si>
  <si>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</si>
  <si>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</si>
  <si>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</si>
  <si>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G5321-0819</t>
  </si>
  <si>
    <t>IBVS 5960</t>
  </si>
  <si>
    <t>II</t>
  </si>
  <si>
    <t>IBVS 6011</t>
  </si>
  <si>
    <t>IBVS 6063</t>
  </si>
  <si>
    <t>G5321-0819_Eri.xls</t>
  </si>
  <si>
    <t>EC</t>
  </si>
  <si>
    <t>Eri</t>
  </si>
  <si>
    <t>VSX</t>
  </si>
  <si>
    <t>OQ Eri / GSC 5321-0819</t>
  </si>
  <si>
    <t>CCD</t>
  </si>
  <si>
    <t xml:space="preserve">Mag </t>
  </si>
  <si>
    <t>Next ToM-P</t>
  </si>
  <si>
    <t>Next ToM-S</t>
  </si>
  <si>
    <t>12.65-13.25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</si>
</sst>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3-4B23-AF59-11C20A4FCC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-3.4135000023525208E-3</c:v>
                </c:pt>
                <c:pt idx="2">
                  <c:v>-1.0535000037634745E-3</c:v>
                </c:pt>
                <c:pt idx="3">
                  <c:v>-3.2344999999622814E-3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43-4B23-AF59-11C20A4FCC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43-4B23-AF59-11C20A4FCC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43-4B23-AF59-11C20A4FCC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43-4B23-AF59-11C20A4FCC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43-4B23-AF59-11C20A4FCC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43-4B23-AF59-11C20A4FCC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-5.6069871895005454E-4</c:v>
                </c:pt>
                <c:pt idx="1">
                  <c:v>-1.7004283615355833E-3</c:v>
                </c:pt>
                <c:pt idx="2">
                  <c:v>-2.345960512826345E-3</c:v>
                </c:pt>
                <c:pt idx="3">
                  <c:v>-3.0944124127662942E-3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43-4B23-AF59-11C20A4FCC4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1871.5</c:v>
                </c:pt>
                <c:pt idx="2">
                  <c:v>2931.5</c:v>
                </c:pt>
                <c:pt idx="3">
                  <c:v>4160.5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43-4B23-AF59-11C20A4F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70024"/>
        <c:axId val="1"/>
      </c:scatterChart>
      <c:valAx>
        <c:axId val="794270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70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C4AE89-D34F-5FB1-9D00-9D669C819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45</v>
      </c>
    </row>
    <row r="2" spans="1:7" x14ac:dyDescent="0.2">
      <c r="A2" t="s">
        <v>23</v>
      </c>
      <c r="B2" t="s">
        <v>46</v>
      </c>
      <c r="C2" s="27" t="s">
        <v>39</v>
      </c>
      <c r="D2" s="2" t="s">
        <v>47</v>
      </c>
      <c r="E2" s="28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38</v>
      </c>
      <c r="D4" s="25" t="s">
        <v>38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54838.739000000001</v>
      </c>
      <c r="D7" s="26" t="s">
        <v>48</v>
      </c>
    </row>
    <row r="8" spans="1:7" x14ac:dyDescent="0.2">
      <c r="A8" t="s">
        <v>3</v>
      </c>
      <c r="C8" s="35">
        <v>0.35378900000000002</v>
      </c>
      <c r="D8" s="26" t="s">
        <v>48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-5.6069871895005454E-4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-6.0899259555732231E-7</v>
      </c>
      <c r="D12" s="2"/>
      <c r="E12" s="36" t="s">
        <v>51</v>
      </c>
      <c r="F12" s="37" t="s">
        <v>54</v>
      </c>
    </row>
    <row r="13" spans="1:7" x14ac:dyDescent="0.2">
      <c r="A13" s="9" t="s">
        <v>18</v>
      </c>
      <c r="B13" s="9"/>
      <c r="C13" s="2" t="s">
        <v>13</v>
      </c>
      <c r="D13" s="13"/>
      <c r="E13" s="38" t="s">
        <v>35</v>
      </c>
      <c r="F13" s="39">
        <v>1</v>
      </c>
    </row>
    <row r="14" spans="1:7" x14ac:dyDescent="0.2">
      <c r="A14" s="9"/>
      <c r="B14" s="9"/>
      <c r="C14" s="9"/>
      <c r="D14" s="13"/>
      <c r="E14" s="38" t="s">
        <v>32</v>
      </c>
      <c r="F14" s="40">
        <f ca="1">NOW()+15018.5+$C$9/24</f>
        <v>60520.866243749995</v>
      </c>
    </row>
    <row r="15" spans="1:7" x14ac:dyDescent="0.2">
      <c r="A15" s="11" t="s">
        <v>17</v>
      </c>
      <c r="B15" s="9"/>
      <c r="C15" s="12">
        <f ca="1">(C7+C11)+(C8+C12)*INT(MAX(F21:F3533))</f>
        <v>56310.498145892088</v>
      </c>
      <c r="D15" s="13"/>
      <c r="E15" s="38" t="s">
        <v>36</v>
      </c>
      <c r="F15" s="40">
        <f ca="1">ROUND(2*($F$14-$C$7)/$C$8,0)/2+$F$13</f>
        <v>16062</v>
      </c>
    </row>
    <row r="16" spans="1:7" x14ac:dyDescent="0.2">
      <c r="A16" s="14" t="s">
        <v>4</v>
      </c>
      <c r="B16" s="9"/>
      <c r="C16" s="15">
        <f ca="1">+C8+C12</f>
        <v>0.35378839100740445</v>
      </c>
      <c r="D16" s="13"/>
      <c r="E16" s="38" t="s">
        <v>37</v>
      </c>
      <c r="F16" s="40">
        <f ca="1">ROUND(2*($F$14-$C$15)/$C$16,0)/2+$F$13</f>
        <v>11902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/>
      <c r="E17" s="41" t="s">
        <v>52</v>
      </c>
      <c r="F17" s="42">
        <f ca="1">+$C$15+$C$16*$F$16-15018.5-$C$9/24</f>
        <v>45503.183408995552</v>
      </c>
    </row>
    <row r="18" spans="1:19" ht="14.25" thickTop="1" thickBot="1" x14ac:dyDescent="0.25">
      <c r="A18" s="14" t="s">
        <v>5</v>
      </c>
      <c r="B18" s="9"/>
      <c r="C18" s="16">
        <f ca="1">+C15</f>
        <v>56310.498145892088</v>
      </c>
      <c r="D18" s="17">
        <f ca="1">+C16</f>
        <v>0.35378839100740445</v>
      </c>
      <c r="E18" s="44" t="s">
        <v>53</v>
      </c>
      <c r="F18" s="43">
        <f ca="1">+($C$15+$C$16*$F$16)-($C$16/2)-15018.5-$C$9/24</f>
        <v>45503.00651480005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1.2831051138516691E-3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34</v>
      </c>
    </row>
    <row r="21" spans="1:19" x14ac:dyDescent="0.2">
      <c r="A21" t="str">
        <f>D7</f>
        <v>VSX</v>
      </c>
      <c r="C21" s="7">
        <f>C$7</f>
        <v>54838.739000000001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-5.6069871895005454E-4</v>
      </c>
      <c r="Q21" s="1">
        <f>+C21-15018.5</f>
        <v>39820.239000000001</v>
      </c>
      <c r="S21">
        <f ca="1">+(O21-G21)^2</f>
        <v>3.1438305343223223E-7</v>
      </c>
    </row>
    <row r="22" spans="1:19" x14ac:dyDescent="0.2">
      <c r="A22" s="29" t="s">
        <v>41</v>
      </c>
      <c r="B22" s="30" t="s">
        <v>42</v>
      </c>
      <c r="C22" s="29">
        <v>55500.851699999999</v>
      </c>
      <c r="D22" s="29">
        <v>5.0000000000000001E-4</v>
      </c>
      <c r="E22">
        <f>+(C22-C$7)/C$8</f>
        <v>1871.4903515937403</v>
      </c>
      <c r="F22">
        <f>ROUND(2*E22,0)/2</f>
        <v>1871.5</v>
      </c>
      <c r="G22">
        <f>+C22-(C$7+F22*C$8)</f>
        <v>-3.4135000023525208E-3</v>
      </c>
      <c r="I22">
        <f>+G22</f>
        <v>-3.4135000023525208E-3</v>
      </c>
      <c r="O22">
        <f ca="1">+C$11+C$12*$F22</f>
        <v>-1.7004283615355833E-3</v>
      </c>
      <c r="Q22" s="1">
        <f>+C22-15018.5</f>
        <v>40482.351699999999</v>
      </c>
      <c r="S22">
        <f ca="1">+(O22-G22)^2</f>
        <v>2.9346144465712347E-6</v>
      </c>
    </row>
    <row r="23" spans="1:19" x14ac:dyDescent="0.2">
      <c r="A23" s="29" t="s">
        <v>43</v>
      </c>
      <c r="B23" s="30" t="s">
        <v>42</v>
      </c>
      <c r="C23" s="29">
        <v>55875.8704</v>
      </c>
      <c r="D23" s="29">
        <v>5.0000000000000001E-4</v>
      </c>
      <c r="E23">
        <f>+(C23-C$7)/C$8</f>
        <v>2931.4970222364132</v>
      </c>
      <c r="F23">
        <f>ROUND(2*E23,0)/2</f>
        <v>2931.5</v>
      </c>
      <c r="G23">
        <f>+C23-(C$7+F23*C$8)</f>
        <v>-1.0535000037634745E-3</v>
      </c>
      <c r="I23">
        <f>+G23</f>
        <v>-1.0535000037634745E-3</v>
      </c>
      <c r="O23">
        <f ca="1">+C$11+C$12*$F23</f>
        <v>-2.345960512826345E-3</v>
      </c>
      <c r="Q23" s="1">
        <f>+C23-15018.5</f>
        <v>40857.3704</v>
      </c>
      <c r="S23">
        <f ca="1">+(O23-G23)^2</f>
        <v>1.6704541674870543E-6</v>
      </c>
    </row>
    <row r="24" spans="1:19" x14ac:dyDescent="0.2">
      <c r="A24" s="31" t="s">
        <v>44</v>
      </c>
      <c r="B24" s="32" t="s">
        <v>42</v>
      </c>
      <c r="C24" s="33">
        <v>56310.674899999998</v>
      </c>
      <c r="D24" s="33">
        <v>4.0000000000000002E-4</v>
      </c>
      <c r="E24">
        <f>+(C24-C$7)/C$8</f>
        <v>4160.4908575450245</v>
      </c>
      <c r="F24">
        <f>ROUND(2*E24,0)/2</f>
        <v>4160.5</v>
      </c>
      <c r="G24">
        <f>+C24-(C$7+F24*C$8)</f>
        <v>-3.2344999999622814E-3</v>
      </c>
      <c r="I24">
        <f>+G24</f>
        <v>-3.2344999999622814E-3</v>
      </c>
      <c r="O24">
        <f ca="1">+C$11+C$12*$F24</f>
        <v>-3.0944124127662942E-3</v>
      </c>
      <c r="Q24" s="1">
        <f>+C24-15018.5</f>
        <v>41292.174899999998</v>
      </c>
      <c r="S24">
        <f ca="1">+(O24-G24)^2</f>
        <v>1.9624532086393332E-8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2024-07-29T08:47:23Z</dcterms:modified>
</cp:coreProperties>
</file>