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85A8BDA-E3A4-44D0-92D3-AA2C73FD2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C17" i="1"/>
  <c r="F14" i="1"/>
  <c r="E22" i="1"/>
  <c r="F22" i="1" s="1"/>
  <c r="G22" i="1" s="1"/>
  <c r="I22" i="1" s="1"/>
  <c r="E23" i="1"/>
  <c r="F23" i="1" s="1"/>
  <c r="G23" i="1" s="1"/>
  <c r="I23" i="1" s="1"/>
  <c r="E25" i="1"/>
  <c r="F25" i="1" s="1"/>
  <c r="G25" i="1" s="1"/>
  <c r="I25" i="1" s="1"/>
  <c r="G11" i="1"/>
  <c r="F11" i="1"/>
  <c r="Q22" i="1"/>
  <c r="Q23" i="1"/>
  <c r="Q25" i="1"/>
  <c r="E21" i="1"/>
  <c r="F21" i="1" s="1"/>
  <c r="G21" i="1" s="1"/>
  <c r="H21" i="1" s="1"/>
  <c r="Q21" i="1"/>
  <c r="C11" i="1"/>
  <c r="C12" i="1"/>
  <c r="O24" i="1" l="1"/>
  <c r="S24" i="1" s="1"/>
  <c r="F15" i="1"/>
  <c r="C16" i="1"/>
  <c r="D18" i="1" s="1"/>
  <c r="C15" i="1"/>
  <c r="O25" i="1"/>
  <c r="S25" i="1" s="1"/>
  <c r="O23" i="1"/>
  <c r="S23" i="1" s="1"/>
  <c r="O21" i="1"/>
  <c r="S21" i="1" s="1"/>
  <c r="O22" i="1"/>
  <c r="S22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<sst xmlns="http://schemas.openxmlformats.org/spreadsheetml/2006/main" count="64" uniqueCount="56">
  <si>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</si>
  <si>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</si>
  <si>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</si>
  <si>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</si>
  <si>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</si>
  <si>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</si>
  <si>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</si>
  <si>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</si>
  <si>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</si>
  <si>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</si>
  <si>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</si>
  <si>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</si>
  <si>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</si>
  <si>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</si>
  <si>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</si>
  <si>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</si>
  <si>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</si>
  <si>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</si>
  <si>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</si>
  <si>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</si>
  <si>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</si>
  <si>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</si>
  <si>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</si>
  <si>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</si>
  <si>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</si>
  <si>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</si>
  <si>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</si>
  <si>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</si>
  <si>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</si>
  <si>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</si>
  <si>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</si>
  <si>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</si>
  <si>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</si>
  <si>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</si>
  <si>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</si>
  <si>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</si>
  <si>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</si>
  <si>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</si>
  <si>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</si>
  <si>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G5322-2251</t>
  </si>
  <si>
    <t>G5322-2251_Eri.xls</t>
  </si>
  <si>
    <t>EC</t>
  </si>
  <si>
    <t>Eri</t>
  </si>
  <si>
    <t>VSX</t>
  </si>
  <si>
    <t>IBVS 5960</t>
  </si>
  <si>
    <t>I</t>
  </si>
  <si>
    <t>IBVS 6029</t>
  </si>
  <si>
    <t>IBVS 6042</t>
  </si>
  <si>
    <t>OT Eri / GSC 5322-2251</t>
  </si>
  <si>
    <t>CCD</t>
  </si>
  <si>
    <t xml:space="preserve">Mag </t>
  </si>
  <si>
    <t>Next ToM-P</t>
  </si>
  <si>
    <t>Next ToM-S</t>
  </si>
  <si>
    <t>13.71 (0.89)</t>
  </si>
  <si>
    <t>VSX 1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</si>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</sst>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16" fillId="0" borderId="0" xfId="0" applyFont="1" applyAlignment="1"/>
    <xf numFmtId="0" fontId="1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8" xfId="0" applyFill="1" applyBorder="1" applyAlignment="1">
      <alignment horizontal="right" vertical="center"/>
    </xf>
    <xf numFmtId="0" fontId="16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8.345001406269148E-4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C-4FC3-9786-A2669E4284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5.5179999981191941E-3</c:v>
                </c:pt>
                <c:pt idx="2">
                  <c:v>5.3889999981038272E-3</c:v>
                </c:pt>
                <c:pt idx="4">
                  <c:v>5.6404999995720573E-3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7C-4FC3-9786-A2669E4284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7C-4FC3-9786-A2669E4284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7C-4FC3-9786-A2669E4284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7C-4FC3-9786-A2669E4284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7C-4FC3-9786-A2669E4284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7C-4FC3-9786-A2669E4284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1.485170245527973E-3</c:v>
                </c:pt>
                <c:pt idx="1">
                  <c:v>3.5091181654168342E-3</c:v>
                </c:pt>
                <c:pt idx="2">
                  <c:v>3.9385437284050404E-3</c:v>
                </c:pt>
                <c:pt idx="3">
                  <c:v>4.2121686336197483E-3</c:v>
                </c:pt>
                <c:pt idx="4">
                  <c:v>4.2369993634524001E-3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7C-4FC3-9786-A2669E4284F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-5601</c:v>
                </c:pt>
                <c:pt idx="1">
                  <c:v>-1444</c:v>
                </c:pt>
                <c:pt idx="2">
                  <c:v>-562</c:v>
                </c:pt>
                <c:pt idx="3">
                  <c:v>0</c:v>
                </c:pt>
                <c:pt idx="4">
                  <c:v>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7C-4FC3-9786-A2669E428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226032"/>
        <c:axId val="1"/>
      </c:scatterChart>
      <c:valAx>
        <c:axId val="553226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26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</xdr:rowOff>
    </xdr:from>
    <xdr:to>
      <xdr:col>17</xdr:col>
      <xdr:colOff>485775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D5E0BC-276E-E33B-9EC7-CBD07FABC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48</v>
      </c>
      <c r="E1" t="s">
        <v>40</v>
      </c>
    </row>
    <row r="2" spans="1:7" x14ac:dyDescent="0.2">
      <c r="A2" t="s">
        <v>23</v>
      </c>
      <c r="B2" t="s">
        <v>41</v>
      </c>
      <c r="C2" s="27" t="s">
        <v>38</v>
      </c>
      <c r="D2" s="2" t="s">
        <v>42</v>
      </c>
      <c r="E2" s="28" t="s">
        <v>39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37</v>
      </c>
      <c r="D4" s="25" t="s">
        <v>37</v>
      </c>
    </row>
    <row r="6" spans="1:7" x14ac:dyDescent="0.2">
      <c r="A6" s="4" t="s">
        <v>1</v>
      </c>
      <c r="E6" s="38" t="s">
        <v>54</v>
      </c>
    </row>
    <row r="7" spans="1:7" x14ac:dyDescent="0.2">
      <c r="A7" t="s">
        <v>2</v>
      </c>
      <c r="C7" s="41">
        <v>56220.923000000003</v>
      </c>
      <c r="D7" s="26" t="s">
        <v>43</v>
      </c>
      <c r="E7" s="39">
        <v>53478.481000000145</v>
      </c>
    </row>
    <row r="8" spans="1:7" x14ac:dyDescent="0.2">
      <c r="A8" t="s">
        <v>3</v>
      </c>
      <c r="C8" s="41">
        <v>0.48963449999999997</v>
      </c>
      <c r="D8" s="26" t="s">
        <v>43</v>
      </c>
      <c r="E8" s="40">
        <v>0.48963299999999998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4.2121686336197483E-3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4.8687705554218445E-7</v>
      </c>
      <c r="D12" s="2"/>
      <c r="E12" s="42" t="s">
        <v>50</v>
      </c>
      <c r="F12" s="43" t="s">
        <v>53</v>
      </c>
    </row>
    <row r="13" spans="1:7" x14ac:dyDescent="0.2">
      <c r="A13" s="9" t="s">
        <v>18</v>
      </c>
      <c r="B13" s="9"/>
      <c r="C13" s="2" t="s">
        <v>13</v>
      </c>
      <c r="D13" s="13"/>
      <c r="E13" s="44" t="s">
        <v>34</v>
      </c>
      <c r="F13" s="45">
        <v>1</v>
      </c>
    </row>
    <row r="14" spans="1:7" x14ac:dyDescent="0.2">
      <c r="A14" s="9"/>
      <c r="B14" s="9"/>
      <c r="C14" s="9"/>
      <c r="D14" s="13"/>
      <c r="E14" s="44" t="s">
        <v>31</v>
      </c>
      <c r="F14" s="46">
        <f ca="1">NOW()+15018.5+$C$9/24</f>
        <v>60520.866453587958</v>
      </c>
    </row>
    <row r="15" spans="1:7" x14ac:dyDescent="0.2">
      <c r="A15" s="11" t="s">
        <v>17</v>
      </c>
      <c r="B15" s="9"/>
      <c r="C15" s="12">
        <f ca="1">(C7+C11)+(C8+C12)*INT(MAX(F21:F3533))</f>
        <v>56245.89859649937</v>
      </c>
      <c r="D15" s="13"/>
      <c r="E15" s="44" t="s">
        <v>35</v>
      </c>
      <c r="F15" s="46">
        <f ca="1">ROUND(2*($F$14-$C$7)/$C$8,0)/2+$F$13</f>
        <v>8783</v>
      </c>
    </row>
    <row r="16" spans="1:7" x14ac:dyDescent="0.2">
      <c r="A16" s="14" t="s">
        <v>4</v>
      </c>
      <c r="B16" s="9"/>
      <c r="C16" s="15">
        <f ca="1">+C8+C12</f>
        <v>0.48963498687705553</v>
      </c>
      <c r="D16" s="13"/>
      <c r="E16" s="44" t="s">
        <v>36</v>
      </c>
      <c r="F16" s="46">
        <f ca="1">ROUND(2*($F$14-$C$15)/$C$16,0)/2+$F$13</f>
        <v>8732</v>
      </c>
    </row>
    <row r="17" spans="1:19" ht="13.5" thickBot="1" x14ac:dyDescent="0.25">
      <c r="A17" s="13" t="s">
        <v>28</v>
      </c>
      <c r="B17" s="9"/>
      <c r="C17" s="9">
        <f>COUNT(C21:C2191)</f>
        <v>5</v>
      </c>
      <c r="D17" s="13"/>
      <c r="E17" s="47" t="s">
        <v>51</v>
      </c>
      <c r="F17" s="48">
        <f ca="1">+$C$15+$C$16*$F$16-15018.5-$C$9/24</f>
        <v>45503.287135243154</v>
      </c>
    </row>
    <row r="18" spans="1:19" ht="14.25" thickTop="1" thickBot="1" x14ac:dyDescent="0.25">
      <c r="A18" s="14" t="s">
        <v>5</v>
      </c>
      <c r="B18" s="9"/>
      <c r="C18" s="16">
        <f ca="1">+C15</f>
        <v>56245.89859649937</v>
      </c>
      <c r="D18" s="17">
        <f ca="1">+C16</f>
        <v>0.48963498687705553</v>
      </c>
      <c r="E18" s="50" t="s">
        <v>52</v>
      </c>
      <c r="F18" s="49">
        <f ca="1">+($C$15+$C$16*$F$16)-($C$16/2)-15018.5-$C$9/24</f>
        <v>45503.042317749714</v>
      </c>
    </row>
    <row r="19" spans="1:19" ht="13.5" thickTop="1" x14ac:dyDescent="0.2">
      <c r="A19" s="21" t="s">
        <v>32</v>
      </c>
      <c r="E19" s="22">
        <v>21</v>
      </c>
      <c r="S19">
        <f ca="1">SQRT(SUM(S21:S50)/(COUNT(S21:S50)-1))</f>
        <v>2.5629562924053351E-3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43</v>
      </c>
      <c r="I20" s="6" t="s">
        <v>55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19" x14ac:dyDescent="0.2">
      <c r="A21" s="37" t="s">
        <v>54</v>
      </c>
      <c r="C21" s="7">
        <v>53478.481000000145</v>
      </c>
      <c r="D21" s="7" t="s">
        <v>13</v>
      </c>
      <c r="E21">
        <f>+(C21-C$7)/C$8</f>
        <v>-5600.9982956671911</v>
      </c>
      <c r="F21">
        <f>ROUND(2*E21,0)/2</f>
        <v>-5601</v>
      </c>
      <c r="G21">
        <f>+C21-(C$7+F21*C$8)</f>
        <v>8.345001406269148E-4</v>
      </c>
      <c r="H21">
        <f>+G21</f>
        <v>8.345001406269148E-4</v>
      </c>
      <c r="O21">
        <f ca="1">+C$11+C$12*$F21</f>
        <v>1.485170245527973E-3</v>
      </c>
      <c r="Q21" s="1">
        <f>+C21-15018.5</f>
        <v>38459.981000000145</v>
      </c>
      <c r="S21">
        <f ca="1">+(O21-G21)^2</f>
        <v>4.2337158541195409E-7</v>
      </c>
    </row>
    <row r="22" spans="1:19" x14ac:dyDescent="0.2">
      <c r="A22" s="29" t="s">
        <v>44</v>
      </c>
      <c r="B22" s="30" t="s">
        <v>45</v>
      </c>
      <c r="C22" s="29">
        <v>55513.8963</v>
      </c>
      <c r="D22" s="29">
        <v>4.0000000000000002E-4</v>
      </c>
      <c r="E22">
        <f>+(C22-C$7)/C$8</f>
        <v>-1443.9887303692901</v>
      </c>
      <c r="F22">
        <f>ROUND(2*E22,0)/2</f>
        <v>-1444</v>
      </c>
      <c r="G22">
        <f>+C22-(C$7+F22*C$8)</f>
        <v>5.5179999981191941E-3</v>
      </c>
      <c r="I22">
        <f>+G22</f>
        <v>5.5179999981191941E-3</v>
      </c>
      <c r="O22">
        <f ca="1">+C$11+C$12*$F22</f>
        <v>3.5091181654168342E-3</v>
      </c>
      <c r="Q22" s="1">
        <f>+C22-15018.5</f>
        <v>40495.3963</v>
      </c>
      <c r="S22">
        <f ca="1">+(O22-G22)^2</f>
        <v>4.0356062177615918E-6</v>
      </c>
    </row>
    <row r="23" spans="1:19" x14ac:dyDescent="0.2">
      <c r="A23" s="31" t="s">
        <v>46</v>
      </c>
      <c r="B23" s="32" t="s">
        <v>45</v>
      </c>
      <c r="C23" s="31">
        <v>55945.753799999999</v>
      </c>
      <c r="D23" s="31">
        <v>2.0000000000000001E-4</v>
      </c>
      <c r="E23">
        <f>+(C23-C$7)/C$8</f>
        <v>-561.98899383112087</v>
      </c>
      <c r="F23">
        <f>ROUND(2*E23,0)/2</f>
        <v>-562</v>
      </c>
      <c r="G23">
        <f>+C23-(C$7+F23*C$8)</f>
        <v>5.3889999981038272E-3</v>
      </c>
      <c r="I23">
        <f>+G23</f>
        <v>5.3889999981038272E-3</v>
      </c>
      <c r="O23">
        <f ca="1">+C$11+C$12*$F23</f>
        <v>3.9385437284050404E-3</v>
      </c>
      <c r="Q23" s="1">
        <f>+C23-15018.5</f>
        <v>40927.253799999999</v>
      </c>
      <c r="S23">
        <f ca="1">+(O23-G23)^2</f>
        <v>2.1038233903085199E-6</v>
      </c>
    </row>
    <row r="24" spans="1:19" x14ac:dyDescent="0.2">
      <c r="A24" t="s">
        <v>43</v>
      </c>
      <c r="C24" s="7">
        <v>56220.923000000003</v>
      </c>
      <c r="D24" s="7"/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4.2121686336197483E-3</v>
      </c>
      <c r="Q24" s="1">
        <f>+C24-15018.5</f>
        <v>41202.423000000003</v>
      </c>
      <c r="S24">
        <f ca="1">+(O24-G24)^2</f>
        <v>1.7742364598050058E-5</v>
      </c>
    </row>
    <row r="25" spans="1:19" x14ac:dyDescent="0.2">
      <c r="A25" s="33" t="s">
        <v>47</v>
      </c>
      <c r="B25" s="34" t="s">
        <v>45</v>
      </c>
      <c r="C25" s="35">
        <v>56245.9</v>
      </c>
      <c r="D25" s="35">
        <v>2.0000000000000001E-4</v>
      </c>
      <c r="E25">
        <f>+(C25-C$7)/C$8</f>
        <v>51.011519817330999</v>
      </c>
      <c r="F25">
        <f>ROUND(2*E25,0)/2</f>
        <v>51</v>
      </c>
      <c r="G25">
        <f>+C25-(C$7+F25*C$8)</f>
        <v>5.6404999995720573E-3</v>
      </c>
      <c r="I25">
        <f>+G25</f>
        <v>5.6404999995720573E-3</v>
      </c>
      <c r="O25">
        <f ca="1">+C$11+C$12*$F25</f>
        <v>4.2369993634524001E-3</v>
      </c>
      <c r="Q25" s="1">
        <f>+C25-15018.5</f>
        <v>41227.4</v>
      </c>
      <c r="S25">
        <f ca="1">+(O25-G25)^2</f>
        <v>1.9698140355882825E-6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V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2024-07-29T08:47:41Z</dcterms:modified>
</cp:coreProperties>
</file>