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3107B49-F380-4988-A949-12A10371BA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4" i="2" l="1"/>
  <c r="F14" i="1"/>
  <c r="F11" i="2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I25" i="2"/>
  <c r="E26" i="2"/>
  <c r="F26" i="2"/>
  <c r="G26" i="2"/>
  <c r="I26" i="2"/>
  <c r="E27" i="2"/>
  <c r="F27" i="2"/>
  <c r="G27" i="2"/>
  <c r="I27" i="2"/>
  <c r="G11" i="2"/>
  <c r="C17" i="2"/>
  <c r="A21" i="2"/>
  <c r="H20" i="2"/>
  <c r="C21" i="2"/>
  <c r="E21" i="2"/>
  <c r="F21" i="2"/>
  <c r="Q21" i="2"/>
  <c r="Q22" i="2"/>
  <c r="Q23" i="2"/>
  <c r="Q24" i="2"/>
  <c r="Q25" i="2"/>
  <c r="Q26" i="2"/>
  <c r="Q27" i="2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F11" i="1"/>
  <c r="Q22" i="1"/>
  <c r="Q23" i="1"/>
  <c r="Q24" i="1"/>
  <c r="Q25" i="1"/>
  <c r="Q26" i="1"/>
  <c r="Q27" i="1"/>
  <c r="C21" i="1"/>
  <c r="C17" i="1"/>
  <c r="E21" i="1"/>
  <c r="F21" i="1"/>
  <c r="A21" i="1"/>
  <c r="H20" i="1"/>
  <c r="G11" i="1"/>
  <c r="G21" i="2"/>
  <c r="H21" i="2"/>
  <c r="Q21" i="1"/>
  <c r="G21" i="1"/>
  <c r="H21" i="1"/>
  <c r="C11" i="2"/>
  <c r="C12" i="2"/>
  <c r="C11" i="1"/>
  <c r="F15" i="2" l="1"/>
  <c r="F15" i="1"/>
  <c r="C16" i="2"/>
  <c r="D18" i="2" s="1"/>
  <c r="O21" i="2"/>
  <c r="O26" i="2"/>
  <c r="S26" i="2" s="1"/>
  <c r="C15" i="2"/>
  <c r="O23" i="2"/>
  <c r="S23" i="2" s="1"/>
  <c r="O27" i="2"/>
  <c r="S27" i="2" s="1"/>
  <c r="O25" i="2"/>
  <c r="S25" i="2" s="1"/>
  <c r="O24" i="2"/>
  <c r="S24" i="2" s="1"/>
  <c r="O22" i="2"/>
  <c r="S22" i="2" s="1"/>
  <c r="C12" i="1"/>
  <c r="O21" i="1" l="1"/>
  <c r="S21" i="1" s="1"/>
  <c r="O22" i="1"/>
  <c r="S22" i="1" s="1"/>
  <c r="O27" i="1"/>
  <c r="S27" i="1" s="1"/>
  <c r="C15" i="1"/>
  <c r="F16" i="1" s="1"/>
  <c r="F17" i="1" s="1"/>
  <c r="O24" i="1"/>
  <c r="S24" i="1" s="1"/>
  <c r="O26" i="1"/>
  <c r="S26" i="1" s="1"/>
  <c r="C16" i="1"/>
  <c r="D18" i="1" s="1"/>
  <c r="O23" i="1"/>
  <c r="S23" i="1" s="1"/>
  <c r="O25" i="1"/>
  <c r="S25" i="1" s="1"/>
  <c r="F16" i="2"/>
  <c r="F17" i="2" s="1"/>
  <c r="C18" i="2"/>
  <c r="S19" i="2"/>
  <c r="S19" i="1" l="1"/>
  <c r="C18" i="1"/>
  <c r="F18" i="2"/>
  <c r="F18" i="1"/>
</calcChain>
</file>

<file path=xl/sharedStrings.xml><?xml version="1.0" encoding="utf-8"?>
<sst xmlns="http://schemas.openxmlformats.org/spreadsheetml/2006/main" count="133" uniqueCount="59">
  <si>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</si>
  <si>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</si>
  <si>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</si>
  <si>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</si>
  <si>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</si>
  <si>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</si>
  <si>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</si>
  <si>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</si>
  <si>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</si>
  <si>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</si>
  <si>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</si>
  <si>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</si>
  <si>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</si>
  <si>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</si>
  <si>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</si>
  <si>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</si>
  <si>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</si>
  <si>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</si>
  <si>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</si>
  <si>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</si>
  <si>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</si>
  <si>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</si>
  <si>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</si>
  <si>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</si>
  <si>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</si>
  <si>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</si>
  <si>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</si>
  <si>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</si>
  <si>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</si>
  <si>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</si>
  <si>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</si>
  <si>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</si>
  <si>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</si>
  <si>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</si>
  <si>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</si>
  <si>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</si>
  <si>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</si>
  <si>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</si>
  <si>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</si>
  <si>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G5330-0664</t>
  </si>
  <si>
    <t>G5330-0664_Eri.xls</t>
  </si>
  <si>
    <t>EW</t>
  </si>
  <si>
    <t>Eri</t>
  </si>
  <si>
    <t>VSX</t>
  </si>
  <si>
    <t>IBVS 5960</t>
  </si>
  <si>
    <t>I</t>
  </si>
  <si>
    <t>IBVS 6011</t>
  </si>
  <si>
    <t>II</t>
  </si>
  <si>
    <t>IBVS 6029</t>
  </si>
  <si>
    <t>IBVS 6042</t>
  </si>
  <si>
    <t>This is a  better period</t>
  </si>
  <si>
    <t>ToMcat</t>
  </si>
  <si>
    <t>CCD</t>
  </si>
  <si>
    <t>OV Eri / GSC 5330-0664</t>
  </si>
  <si>
    <t xml:space="preserve">Mag </t>
  </si>
  <si>
    <t>Next ToM-P</t>
  </si>
  <si>
    <t>Next ToM-S</t>
  </si>
  <si>
    <t>13.51-13.95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</si>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</sst>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5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  <xf numFmtId="0" fontId="18" fillId="0" borderId="0" xfId="0" applyFont="1" applyAlignment="1">
      <alignment horizontal="right" vertical="center"/>
    </xf>
    <xf numFmtId="22" fontId="18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22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6" fillId="3" borderId="0" xfId="0" applyFont="1" applyFill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OV Eri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10612.5</c:v>
                </c:pt>
                <c:pt idx="2">
                  <c:v>12388.5</c:v>
                </c:pt>
                <c:pt idx="3">
                  <c:v>12432</c:v>
                </c:pt>
                <c:pt idx="4">
                  <c:v>12432.5</c:v>
                </c:pt>
                <c:pt idx="5">
                  <c:v>13713.5</c:v>
                </c:pt>
                <c:pt idx="6">
                  <c:v>13714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31-4011-A28C-5F9FD7AF505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10612.5</c:v>
                </c:pt>
                <c:pt idx="2">
                  <c:v>12388.5</c:v>
                </c:pt>
                <c:pt idx="3">
                  <c:v>12432</c:v>
                </c:pt>
                <c:pt idx="4">
                  <c:v>12432.5</c:v>
                </c:pt>
                <c:pt idx="5">
                  <c:v>13713.5</c:v>
                </c:pt>
                <c:pt idx="6">
                  <c:v>13714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-1.3712498475797474E-3</c:v>
                </c:pt>
                <c:pt idx="2">
                  <c:v>9.5950148534029722E-5</c:v>
                </c:pt>
                <c:pt idx="3">
                  <c:v>-3.2959984673652798E-4</c:v>
                </c:pt>
                <c:pt idx="4">
                  <c:v>-3.6172498512314633E-3</c:v>
                </c:pt>
                <c:pt idx="5">
                  <c:v>-6.7654984741238877E-4</c:v>
                </c:pt>
                <c:pt idx="6">
                  <c:v>-3.8641998471575789E-3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31-4011-A28C-5F9FD7AF505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10612.5</c:v>
                </c:pt>
                <c:pt idx="2">
                  <c:v>12388.5</c:v>
                </c:pt>
                <c:pt idx="3">
                  <c:v>12432</c:v>
                </c:pt>
                <c:pt idx="4">
                  <c:v>12432.5</c:v>
                </c:pt>
                <c:pt idx="5">
                  <c:v>13713.5</c:v>
                </c:pt>
                <c:pt idx="6">
                  <c:v>13714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31-4011-A28C-5F9FD7AF505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10612.5</c:v>
                </c:pt>
                <c:pt idx="2">
                  <c:v>12388.5</c:v>
                </c:pt>
                <c:pt idx="3">
                  <c:v>12432</c:v>
                </c:pt>
                <c:pt idx="4">
                  <c:v>12432.5</c:v>
                </c:pt>
                <c:pt idx="5">
                  <c:v>13713.5</c:v>
                </c:pt>
                <c:pt idx="6">
                  <c:v>13714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31-4011-A28C-5F9FD7AF505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10612.5</c:v>
                </c:pt>
                <c:pt idx="2">
                  <c:v>12388.5</c:v>
                </c:pt>
                <c:pt idx="3">
                  <c:v>12432</c:v>
                </c:pt>
                <c:pt idx="4">
                  <c:v>12432.5</c:v>
                </c:pt>
                <c:pt idx="5">
                  <c:v>13713.5</c:v>
                </c:pt>
                <c:pt idx="6">
                  <c:v>13714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31-4011-A28C-5F9FD7AF505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10612.5</c:v>
                </c:pt>
                <c:pt idx="2">
                  <c:v>12388.5</c:v>
                </c:pt>
                <c:pt idx="3">
                  <c:v>12432</c:v>
                </c:pt>
                <c:pt idx="4">
                  <c:v>12432.5</c:v>
                </c:pt>
                <c:pt idx="5">
                  <c:v>13713.5</c:v>
                </c:pt>
                <c:pt idx="6">
                  <c:v>13714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31-4011-A28C-5F9FD7AF505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10612.5</c:v>
                </c:pt>
                <c:pt idx="2">
                  <c:v>12388.5</c:v>
                </c:pt>
                <c:pt idx="3">
                  <c:v>12432</c:v>
                </c:pt>
                <c:pt idx="4">
                  <c:v>12432.5</c:v>
                </c:pt>
                <c:pt idx="5">
                  <c:v>13713.5</c:v>
                </c:pt>
                <c:pt idx="6">
                  <c:v>13714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31-4011-A28C-5F9FD7AF505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10612.5</c:v>
                </c:pt>
                <c:pt idx="2">
                  <c:v>12388.5</c:v>
                </c:pt>
                <c:pt idx="3">
                  <c:v>12432</c:v>
                </c:pt>
                <c:pt idx="4">
                  <c:v>12432.5</c:v>
                </c:pt>
                <c:pt idx="5">
                  <c:v>13713.5</c:v>
                </c:pt>
                <c:pt idx="6">
                  <c:v>13714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1.0234551609354789E-4</c:v>
                </c:pt>
                <c:pt idx="1">
                  <c:v>-1.3747075849414913E-3</c:v>
                </c:pt>
                <c:pt idx="2">
                  <c:v>-1.6218921604362595E-3</c:v>
                </c:pt>
                <c:pt idx="3">
                  <c:v>-1.6279465123698309E-3</c:v>
                </c:pt>
                <c:pt idx="4">
                  <c:v>-1.6280161026219408E-3</c:v>
                </c:pt>
                <c:pt idx="5">
                  <c:v>-1.8063063285277958E-3</c:v>
                </c:pt>
                <c:pt idx="6">
                  <c:v>-1.8063759187799057E-3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31-4011-A28C-5F9FD7AF5059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10612.5</c:v>
                </c:pt>
                <c:pt idx="2">
                  <c:v>12388.5</c:v>
                </c:pt>
                <c:pt idx="3">
                  <c:v>12432</c:v>
                </c:pt>
                <c:pt idx="4">
                  <c:v>12432.5</c:v>
                </c:pt>
                <c:pt idx="5">
                  <c:v>13713.5</c:v>
                </c:pt>
                <c:pt idx="6">
                  <c:v>13714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31-4011-A28C-5F9FD7AF5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51744"/>
        <c:axId val="1"/>
      </c:scatterChart>
      <c:valAx>
        <c:axId val="794351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0000000000000002E-2"/>
          <c:min val="-6.000000000000001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51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OV Eri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10977</c:v>
                </c:pt>
                <c:pt idx="2">
                  <c:v>12814</c:v>
                </c:pt>
                <c:pt idx="3">
                  <c:v>12859</c:v>
                </c:pt>
                <c:pt idx="4">
                  <c:v>12859.5</c:v>
                </c:pt>
                <c:pt idx="5">
                  <c:v>14184.5</c:v>
                </c:pt>
                <c:pt idx="6">
                  <c:v>14185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70-4D4F-AC36-E63552F67498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10977</c:v>
                </c:pt>
                <c:pt idx="2">
                  <c:v>12814</c:v>
                </c:pt>
                <c:pt idx="3">
                  <c:v>12859</c:v>
                </c:pt>
                <c:pt idx="4">
                  <c:v>12859.5</c:v>
                </c:pt>
                <c:pt idx="5">
                  <c:v>14184.5</c:v>
                </c:pt>
                <c:pt idx="6">
                  <c:v>14185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2.1350000148231629E-2</c:v>
                </c:pt>
                <c:pt idx="2">
                  <c:v>2.6400000147987157E-2</c:v>
                </c:pt>
                <c:pt idx="3">
                  <c:v>2.4750000149651896E-2</c:v>
                </c:pt>
                <c:pt idx="4">
                  <c:v>2.5275000152760185E-2</c:v>
                </c:pt>
                <c:pt idx="5">
                  <c:v>3.0425000149989501E-2</c:v>
                </c:pt>
                <c:pt idx="6">
                  <c:v>3.1050000150571577E-2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70-4D4F-AC36-E63552F67498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10977</c:v>
                </c:pt>
                <c:pt idx="2">
                  <c:v>12814</c:v>
                </c:pt>
                <c:pt idx="3">
                  <c:v>12859</c:v>
                </c:pt>
                <c:pt idx="4">
                  <c:v>12859.5</c:v>
                </c:pt>
                <c:pt idx="5">
                  <c:v>14184.5</c:v>
                </c:pt>
                <c:pt idx="6">
                  <c:v>14185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70-4D4F-AC36-E63552F67498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10977</c:v>
                </c:pt>
                <c:pt idx="2">
                  <c:v>12814</c:v>
                </c:pt>
                <c:pt idx="3">
                  <c:v>12859</c:v>
                </c:pt>
                <c:pt idx="4">
                  <c:v>12859.5</c:v>
                </c:pt>
                <c:pt idx="5">
                  <c:v>14184.5</c:v>
                </c:pt>
                <c:pt idx="6">
                  <c:v>14185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70-4D4F-AC36-E63552F67498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10977</c:v>
                </c:pt>
                <c:pt idx="2">
                  <c:v>12814</c:v>
                </c:pt>
                <c:pt idx="3">
                  <c:v>12859</c:v>
                </c:pt>
                <c:pt idx="4">
                  <c:v>12859.5</c:v>
                </c:pt>
                <c:pt idx="5">
                  <c:v>14184.5</c:v>
                </c:pt>
                <c:pt idx="6">
                  <c:v>14185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70-4D4F-AC36-E63552F67498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10977</c:v>
                </c:pt>
                <c:pt idx="2">
                  <c:v>12814</c:v>
                </c:pt>
                <c:pt idx="3">
                  <c:v>12859</c:v>
                </c:pt>
                <c:pt idx="4">
                  <c:v>12859.5</c:v>
                </c:pt>
                <c:pt idx="5">
                  <c:v>14184.5</c:v>
                </c:pt>
                <c:pt idx="6">
                  <c:v>14185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70-4D4F-AC36-E63552F67498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6.0000000000000006E-4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10977</c:v>
                </c:pt>
                <c:pt idx="2">
                  <c:v>12814</c:v>
                </c:pt>
                <c:pt idx="3">
                  <c:v>12859</c:v>
                </c:pt>
                <c:pt idx="4">
                  <c:v>12859.5</c:v>
                </c:pt>
                <c:pt idx="5">
                  <c:v>14184.5</c:v>
                </c:pt>
                <c:pt idx="6">
                  <c:v>14185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70-4D4F-AC36-E63552F67498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10977</c:v>
                </c:pt>
                <c:pt idx="2">
                  <c:v>12814</c:v>
                </c:pt>
                <c:pt idx="3">
                  <c:v>12859</c:v>
                </c:pt>
                <c:pt idx="4">
                  <c:v>12859.5</c:v>
                </c:pt>
                <c:pt idx="5">
                  <c:v>14184.5</c:v>
                </c:pt>
                <c:pt idx="6">
                  <c:v>14185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-4.8845382863290515E-4</c:v>
                </c:pt>
                <c:pt idx="1">
                  <c:v>2.2439672670278913E-2</c:v>
                </c:pt>
                <c:pt idx="2">
                  <c:v>2.6276692655566425E-2</c:v>
                </c:pt>
                <c:pt idx="3">
                  <c:v>2.6370686068379674E-2</c:v>
                </c:pt>
                <c:pt idx="4">
                  <c:v>2.6371730439633156E-2</c:v>
                </c:pt>
                <c:pt idx="5">
                  <c:v>2.9139314261356592E-2</c:v>
                </c:pt>
                <c:pt idx="6">
                  <c:v>2.9140358632610074E-2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70-4D4F-AC36-E63552F67498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10977</c:v>
                </c:pt>
                <c:pt idx="2">
                  <c:v>12814</c:v>
                </c:pt>
                <c:pt idx="3">
                  <c:v>12859</c:v>
                </c:pt>
                <c:pt idx="4">
                  <c:v>12859.5</c:v>
                </c:pt>
                <c:pt idx="5">
                  <c:v>14184.5</c:v>
                </c:pt>
                <c:pt idx="6">
                  <c:v>14185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70-4D4F-AC36-E63552F67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60744"/>
        <c:axId val="1"/>
      </c:scatterChart>
      <c:valAx>
        <c:axId val="794360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60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3BA1D4D-EFFF-A437-7EFB-E5C40DB1C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3FE9CE6F-2D02-9102-2E3D-DC412BB7E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5703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53</v>
      </c>
      <c r="E1" t="s">
        <v>40</v>
      </c>
    </row>
    <row r="2" spans="1:7" x14ac:dyDescent="0.2">
      <c r="A2" t="s">
        <v>23</v>
      </c>
      <c r="B2" t="s">
        <v>41</v>
      </c>
      <c r="C2" s="27" t="s">
        <v>38</v>
      </c>
      <c r="D2" s="2" t="s">
        <v>42</v>
      </c>
      <c r="E2" s="28" t="s">
        <v>39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4" t="s">
        <v>37</v>
      </c>
      <c r="D4" s="25" t="s">
        <v>37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53090.535999999847</v>
      </c>
      <c r="D7" s="26" t="s">
        <v>43</v>
      </c>
    </row>
    <row r="8" spans="1:7" x14ac:dyDescent="0.2">
      <c r="A8" t="s">
        <v>3</v>
      </c>
      <c r="C8" s="37">
        <v>0.22957530000000001</v>
      </c>
      <c r="D8" s="26" t="s">
        <v>43</v>
      </c>
    </row>
    <row r="9" spans="1:7" x14ac:dyDescent="0.2">
      <c r="A9" s="8" t="s">
        <v>29</v>
      </c>
      <c r="B9" s="9"/>
      <c r="C9" s="10">
        <v>-9.5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18">
        <f ca="1">INTERCEPT(INDIRECT($G$11):G992,INDIRECT($F$11):F992)</f>
        <v>1.0234551609354789E-4</v>
      </c>
      <c r="D11" s="2"/>
      <c r="E11" s="9"/>
      <c r="F11" s="19" t="str">
        <f>"F"&amp;E19</f>
        <v>F21</v>
      </c>
      <c r="G11" s="20" t="str">
        <f>"G"&amp;E19</f>
        <v>G21</v>
      </c>
    </row>
    <row r="12" spans="1:7" x14ac:dyDescent="0.2">
      <c r="A12" s="9" t="s">
        <v>16</v>
      </c>
      <c r="B12" s="9"/>
      <c r="C12" s="18">
        <f ca="1">SLOPE(INDIRECT($G$11):G992,INDIRECT($F$11):F992)</f>
        <v>-1.3918050422002725E-7</v>
      </c>
      <c r="D12" s="2"/>
      <c r="E12" s="45" t="s">
        <v>54</v>
      </c>
      <c r="F12" s="46" t="s">
        <v>57</v>
      </c>
    </row>
    <row r="13" spans="1:7" x14ac:dyDescent="0.2">
      <c r="A13" s="9" t="s">
        <v>18</v>
      </c>
      <c r="B13" s="9"/>
      <c r="C13" s="2" t="s">
        <v>13</v>
      </c>
      <c r="D13" s="13"/>
      <c r="E13" s="47" t="s">
        <v>34</v>
      </c>
      <c r="F13" s="48">
        <v>1</v>
      </c>
    </row>
    <row r="14" spans="1:7" x14ac:dyDescent="0.2">
      <c r="A14" s="9"/>
      <c r="B14" s="9"/>
      <c r="C14" s="9"/>
      <c r="D14" s="13"/>
      <c r="E14" s="47" t="s">
        <v>31</v>
      </c>
      <c r="F14" s="49">
        <f ca="1">NOW()+15018.5+$C$9/24</f>
        <v>60520.866965046291</v>
      </c>
    </row>
    <row r="15" spans="1:7" x14ac:dyDescent="0.2">
      <c r="A15" s="11" t="s">
        <v>17</v>
      </c>
      <c r="B15" s="9"/>
      <c r="C15" s="12">
        <f ca="1">(C7+C11)+(C8+C12)*INT(MAX(F21:F3533))</f>
        <v>56238.929857823932</v>
      </c>
      <c r="D15" s="13"/>
      <c r="E15" s="47" t="s">
        <v>35</v>
      </c>
      <c r="F15" s="49">
        <f ca="1">ROUND(2*($F$14-$C$7)/$C$8,0)/2+$F$13</f>
        <v>32366.5</v>
      </c>
    </row>
    <row r="16" spans="1:7" x14ac:dyDescent="0.2">
      <c r="A16" s="14" t="s">
        <v>4</v>
      </c>
      <c r="B16" s="9"/>
      <c r="C16" s="15">
        <f ca="1">+C8+C12</f>
        <v>0.22957516081949578</v>
      </c>
      <c r="D16" s="13"/>
      <c r="E16" s="47" t="s">
        <v>36</v>
      </c>
      <c r="F16" s="49">
        <f ca="1">ROUND(2*($F$14-$C$15)/$C$16,0)/2+$F$13</f>
        <v>18652.5</v>
      </c>
    </row>
    <row r="17" spans="1:19" ht="13.5" thickBot="1" x14ac:dyDescent="0.25">
      <c r="A17" s="13" t="s">
        <v>28</v>
      </c>
      <c r="B17" s="9"/>
      <c r="C17" s="9">
        <f>COUNT(C21:C2191)</f>
        <v>7</v>
      </c>
      <c r="D17" s="13"/>
      <c r="E17" s="50" t="s">
        <v>55</v>
      </c>
      <c r="F17" s="51">
        <f ca="1">+$C$15+$C$16*$F$16-15018.5-$C$9/24</f>
        <v>45502.976378342915</v>
      </c>
    </row>
    <row r="18" spans="1:19" ht="14.25" thickTop="1" thickBot="1" x14ac:dyDescent="0.25">
      <c r="A18" s="14" t="s">
        <v>5</v>
      </c>
      <c r="B18" s="9"/>
      <c r="C18" s="16">
        <f ca="1">+C15</f>
        <v>56238.929857823932</v>
      </c>
      <c r="D18" s="17">
        <f ca="1">+C16</f>
        <v>0.22957516081949578</v>
      </c>
      <c r="E18" s="53" t="s">
        <v>56</v>
      </c>
      <c r="F18" s="52">
        <f ca="1">+($C$15+$C$16*$F$16)-($C$16/2)-15018.5-$C$9/24</f>
        <v>45502.861590762506</v>
      </c>
    </row>
    <row r="19" spans="1:19" ht="13.5" thickTop="1" x14ac:dyDescent="0.2">
      <c r="A19" s="21" t="s">
        <v>32</v>
      </c>
      <c r="E19" s="22">
        <v>21</v>
      </c>
      <c r="S19">
        <f ca="1">SQRT(SUM(S21:S50)/(COUNT(S21:S50)-1))</f>
        <v>1.5337977244242848E-3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3" t="s">
        <v>33</v>
      </c>
    </row>
    <row r="21" spans="1:19" x14ac:dyDescent="0.2">
      <c r="A21" t="str">
        <f>D7</f>
        <v>VSX</v>
      </c>
      <c r="C21" s="7">
        <f>C$7</f>
        <v>53090.535999999847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1.0234551609354789E-4</v>
      </c>
      <c r="Q21" s="1">
        <f>+C21-15018.5</f>
        <v>38072.035999999847</v>
      </c>
      <c r="S21">
        <f ca="1">+(O21-G21)^2</f>
        <v>1.0474604664454669E-8</v>
      </c>
    </row>
    <row r="22" spans="1:19" x14ac:dyDescent="0.2">
      <c r="A22" s="29" t="s">
        <v>44</v>
      </c>
      <c r="B22" s="30" t="s">
        <v>45</v>
      </c>
      <c r="C22" s="29">
        <v>55526.902499999997</v>
      </c>
      <c r="D22" s="29">
        <v>2.9999999999999997E-4</v>
      </c>
      <c r="E22">
        <f t="shared" ref="E22:E27" si="0">+(C22-C$7)/C$8</f>
        <v>10612.49402701488</v>
      </c>
      <c r="F22">
        <f t="shared" ref="F22:F27" si="1">ROUND(2*E22,0)/2</f>
        <v>10612.5</v>
      </c>
      <c r="G22">
        <f t="shared" ref="G22:G27" si="2">+C22-(C$7+F22*C$8)</f>
        <v>-1.3712498475797474E-3</v>
      </c>
      <c r="I22">
        <f t="shared" ref="I22:I27" si="3">+G22</f>
        <v>-1.3712498475797474E-3</v>
      </c>
      <c r="O22">
        <f t="shared" ref="O22:O27" ca="1" si="4">+C$11+C$12*$F22</f>
        <v>-1.3747075849414913E-3</v>
      </c>
      <c r="Q22" s="1">
        <f t="shared" ref="Q22:Q27" si="5">+C22-15018.5</f>
        <v>40508.402499999997</v>
      </c>
      <c r="S22">
        <f t="shared" ref="S22:S27" ca="1" si="6">+(O22-G22)^2</f>
        <v>1.1955947662799147E-11</v>
      </c>
    </row>
    <row r="23" spans="1:19" x14ac:dyDescent="0.2">
      <c r="A23" s="29" t="s">
        <v>46</v>
      </c>
      <c r="B23" s="30" t="s">
        <v>47</v>
      </c>
      <c r="C23" s="29">
        <v>55934.629699999998</v>
      </c>
      <c r="D23" s="29">
        <v>5.9999999999999995E-4</v>
      </c>
      <c r="E23">
        <f t="shared" si="0"/>
        <v>12388.500417946314</v>
      </c>
      <c r="F23">
        <f t="shared" si="1"/>
        <v>12388.5</v>
      </c>
      <c r="G23">
        <f t="shared" si="2"/>
        <v>9.5950148534029722E-5</v>
      </c>
      <c r="I23">
        <f t="shared" si="3"/>
        <v>9.5950148534029722E-5</v>
      </c>
      <c r="O23">
        <f t="shared" ca="1" si="4"/>
        <v>-1.6218921604362595E-3</v>
      </c>
      <c r="Q23" s="1">
        <f t="shared" si="5"/>
        <v>40916.129699999998</v>
      </c>
      <c r="S23">
        <f t="shared" ca="1" si="6"/>
        <v>2.9509821984883748E-6</v>
      </c>
    </row>
    <row r="24" spans="1:19" x14ac:dyDescent="0.2">
      <c r="A24" s="31" t="s">
        <v>48</v>
      </c>
      <c r="B24" s="32" t="s">
        <v>45</v>
      </c>
      <c r="C24" s="31">
        <v>55944.6158</v>
      </c>
      <c r="D24" s="31">
        <v>5.0000000000000001E-4</v>
      </c>
      <c r="E24">
        <f t="shared" si="0"/>
        <v>12431.998564306143</v>
      </c>
      <c r="F24">
        <f t="shared" si="1"/>
        <v>12432</v>
      </c>
      <c r="G24">
        <f t="shared" si="2"/>
        <v>-3.2959984673652798E-4</v>
      </c>
      <c r="I24">
        <f t="shared" si="3"/>
        <v>-3.2959984673652798E-4</v>
      </c>
      <c r="O24">
        <f t="shared" ca="1" si="4"/>
        <v>-1.6279465123698309E-3</v>
      </c>
      <c r="Q24" s="1">
        <f t="shared" si="5"/>
        <v>40926.1158</v>
      </c>
      <c r="S24">
        <f t="shared" ca="1" si="6"/>
        <v>1.6857040641611158E-6</v>
      </c>
    </row>
    <row r="25" spans="1:19" x14ac:dyDescent="0.2">
      <c r="A25" s="31" t="s">
        <v>48</v>
      </c>
      <c r="B25" s="32" t="s">
        <v>47</v>
      </c>
      <c r="C25" s="31">
        <v>55944.727299999999</v>
      </c>
      <c r="D25" s="31">
        <v>5.0000000000000001E-4</v>
      </c>
      <c r="E25">
        <f t="shared" si="0"/>
        <v>12432.484243732453</v>
      </c>
      <c r="F25">
        <f t="shared" si="1"/>
        <v>12432.5</v>
      </c>
      <c r="G25">
        <f t="shared" si="2"/>
        <v>-3.6172498512314633E-3</v>
      </c>
      <c r="I25">
        <f t="shared" si="3"/>
        <v>-3.6172498512314633E-3</v>
      </c>
      <c r="O25">
        <f t="shared" ca="1" si="4"/>
        <v>-1.6280161026219408E-3</v>
      </c>
      <c r="Q25" s="1">
        <f t="shared" si="5"/>
        <v>40926.227299999999</v>
      </c>
      <c r="S25">
        <f t="shared" ca="1" si="6"/>
        <v>3.9570509066070924E-6</v>
      </c>
    </row>
    <row r="26" spans="1:19" x14ac:dyDescent="0.2">
      <c r="A26" s="33" t="s">
        <v>49</v>
      </c>
      <c r="B26" s="34" t="s">
        <v>47</v>
      </c>
      <c r="C26" s="35">
        <v>56238.816200000001</v>
      </c>
      <c r="D26" s="35">
        <v>6.0000000000000006E-4</v>
      </c>
      <c r="E26">
        <f t="shared" si="0"/>
        <v>13713.497053037299</v>
      </c>
      <c r="F26">
        <f t="shared" si="1"/>
        <v>13713.5</v>
      </c>
      <c r="G26">
        <f t="shared" si="2"/>
        <v>-6.7654984741238877E-4</v>
      </c>
      <c r="I26">
        <f t="shared" si="3"/>
        <v>-6.7654984741238877E-4</v>
      </c>
      <c r="O26">
        <f t="shared" ca="1" si="4"/>
        <v>-1.8063063285277958E-3</v>
      </c>
      <c r="Q26" s="1">
        <f t="shared" si="5"/>
        <v>41220.316200000001</v>
      </c>
      <c r="S26">
        <f t="shared" ca="1" si="6"/>
        <v>1.2763497066222671E-6</v>
      </c>
    </row>
    <row r="27" spans="1:19" x14ac:dyDescent="0.2">
      <c r="A27" s="33" t="s">
        <v>49</v>
      </c>
      <c r="B27" s="34" t="s">
        <v>45</v>
      </c>
      <c r="C27" s="35">
        <v>56238.927799999998</v>
      </c>
      <c r="D27" s="35">
        <v>5.0000000000000001E-4</v>
      </c>
      <c r="E27">
        <f t="shared" si="0"/>
        <v>13713.983168050527</v>
      </c>
      <c r="F27">
        <f t="shared" si="1"/>
        <v>13714</v>
      </c>
      <c r="G27">
        <f t="shared" si="2"/>
        <v>-3.8641998471575789E-3</v>
      </c>
      <c r="I27">
        <f t="shared" si="3"/>
        <v>-3.8641998471575789E-3</v>
      </c>
      <c r="O27">
        <f t="shared" ca="1" si="4"/>
        <v>-1.8063759187799057E-3</v>
      </c>
      <c r="Q27" s="1">
        <f t="shared" si="5"/>
        <v>41220.427799999998</v>
      </c>
      <c r="S27">
        <f t="shared" ca="1" si="6"/>
        <v>4.2346393202037195E-6</v>
      </c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S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9" sqref="F1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53</v>
      </c>
      <c r="E1" t="s">
        <v>40</v>
      </c>
    </row>
    <row r="2" spans="1:7" x14ac:dyDescent="0.2">
      <c r="A2" t="s">
        <v>23</v>
      </c>
      <c r="B2" t="s">
        <v>41</v>
      </c>
      <c r="C2" s="27" t="s">
        <v>38</v>
      </c>
      <c r="D2" s="2" t="s">
        <v>42</v>
      </c>
      <c r="E2" s="28" t="s">
        <v>39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4" t="s">
        <v>37</v>
      </c>
      <c r="D4" s="25" t="s">
        <v>37</v>
      </c>
    </row>
    <row r="6" spans="1:7" x14ac:dyDescent="0.2">
      <c r="A6" s="4" t="s">
        <v>1</v>
      </c>
      <c r="C6" t="s">
        <v>50</v>
      </c>
    </row>
    <row r="7" spans="1:7" x14ac:dyDescent="0.2">
      <c r="A7" t="s">
        <v>2</v>
      </c>
      <c r="C7" s="37">
        <v>53090.535999999847</v>
      </c>
      <c r="D7" s="26" t="s">
        <v>43</v>
      </c>
    </row>
    <row r="8" spans="1:7" x14ac:dyDescent="0.2">
      <c r="A8" t="s">
        <v>3</v>
      </c>
      <c r="C8" s="37">
        <v>0.22195000000000001</v>
      </c>
      <c r="D8" s="26" t="s">
        <v>51</v>
      </c>
    </row>
    <row r="9" spans="1:7" x14ac:dyDescent="0.2">
      <c r="A9" s="8" t="s">
        <v>29</v>
      </c>
      <c r="B9" s="9"/>
      <c r="C9" s="10">
        <v>-9.5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18">
        <f ca="1">INTERCEPT(INDIRECT($G$11):G992,INDIRECT($F$11):F992)</f>
        <v>-4.8845382863290515E-4</v>
      </c>
      <c r="D11" s="2"/>
      <c r="E11" s="9"/>
      <c r="F11" s="19" t="str">
        <f>"F"&amp;E19</f>
        <v>F21</v>
      </c>
      <c r="G11" s="20" t="str">
        <f>"G"&amp;E19</f>
        <v>G21</v>
      </c>
    </row>
    <row r="12" spans="1:7" x14ac:dyDescent="0.2">
      <c r="A12" s="9" t="s">
        <v>16</v>
      </c>
      <c r="B12" s="9"/>
      <c r="C12" s="18">
        <f ca="1">SLOPE(INDIRECT($G$11):G992,INDIRECT($F$11):F992)</f>
        <v>2.0887425069610841E-6</v>
      </c>
      <c r="D12" s="2"/>
      <c r="E12" s="43" t="s">
        <v>54</v>
      </c>
      <c r="F12" s="44" t="s">
        <v>57</v>
      </c>
    </row>
    <row r="13" spans="1:7" x14ac:dyDescent="0.2">
      <c r="A13" s="9" t="s">
        <v>18</v>
      </c>
      <c r="B13" s="9"/>
      <c r="C13" s="2" t="s">
        <v>13</v>
      </c>
      <c r="D13" s="13"/>
      <c r="E13" s="38" t="s">
        <v>34</v>
      </c>
      <c r="F13" s="42">
        <v>1</v>
      </c>
    </row>
    <row r="14" spans="1:7" x14ac:dyDescent="0.2">
      <c r="A14" s="9"/>
      <c r="B14" s="9"/>
      <c r="C14" s="9"/>
      <c r="D14" s="13"/>
      <c r="E14" s="38" t="s">
        <v>31</v>
      </c>
      <c r="F14" s="40">
        <f ca="1">NOW()+15018.5+$C$9/24</f>
        <v>60520.866965046291</v>
      </c>
    </row>
    <row r="15" spans="1:7" x14ac:dyDescent="0.2">
      <c r="A15" s="11" t="s">
        <v>17</v>
      </c>
      <c r="B15" s="9"/>
      <c r="C15" s="12">
        <f ca="1">(C7+C11)+(C8+C12)*INT(MAX(F21:F3533))</f>
        <v>56238.925890358478</v>
      </c>
      <c r="D15" s="13"/>
      <c r="E15" s="38" t="s">
        <v>35</v>
      </c>
      <c r="F15" s="40">
        <f ca="1">ROUND(2*($F$14-$C$7)/$C$8,0)/2+$F$13</f>
        <v>33478.5</v>
      </c>
    </row>
    <row r="16" spans="1:7" x14ac:dyDescent="0.2">
      <c r="A16" s="14" t="s">
        <v>4</v>
      </c>
      <c r="B16" s="9"/>
      <c r="C16" s="15">
        <f ca="1">+C8+C12</f>
        <v>0.22195208874250696</v>
      </c>
      <c r="D16" s="13"/>
      <c r="E16" s="38" t="s">
        <v>36</v>
      </c>
      <c r="F16" s="40">
        <f ca="1">ROUND(2*($F$14-$C$15)/$C$16,0)/2+$F$13</f>
        <v>19293</v>
      </c>
    </row>
    <row r="17" spans="1:19" ht="13.5" thickBot="1" x14ac:dyDescent="0.25">
      <c r="A17" s="13" t="s">
        <v>28</v>
      </c>
      <c r="B17" s="9"/>
      <c r="C17" s="9">
        <f>COUNT(C21:C2191)</f>
        <v>7</v>
      </c>
      <c r="D17" s="13"/>
      <c r="E17" s="39" t="s">
        <v>55</v>
      </c>
      <c r="F17" s="41">
        <f ca="1">+$C$15+$C$16*$F$16-15018.5-$C$9/24</f>
        <v>45502.943371801004</v>
      </c>
    </row>
    <row r="18" spans="1:19" ht="14.25" thickTop="1" thickBot="1" x14ac:dyDescent="0.25">
      <c r="A18" s="14" t="s">
        <v>5</v>
      </c>
      <c r="B18" s="9"/>
      <c r="C18" s="16">
        <f ca="1">+C15</f>
        <v>56238.925890358478</v>
      </c>
      <c r="D18" s="17">
        <f ca="1">+C16</f>
        <v>0.22195208874250696</v>
      </c>
      <c r="E18" s="38" t="s">
        <v>56</v>
      </c>
      <c r="F18" s="41">
        <f ca="1">+($C$15+$C$16*$F$16)-($C$16/2)-15018.5-$C$9/24</f>
        <v>45502.832395756632</v>
      </c>
    </row>
    <row r="19" spans="1:19" ht="13.5" thickTop="1" x14ac:dyDescent="0.2">
      <c r="A19" s="21" t="s">
        <v>32</v>
      </c>
      <c r="E19" s="22">
        <v>21</v>
      </c>
      <c r="S19">
        <f ca="1">SQRT(SUM(S21:S50)/(COUNT(S21:S50)-1))</f>
        <v>1.4374804376860964E-3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3" t="s">
        <v>33</v>
      </c>
    </row>
    <row r="21" spans="1:19" x14ac:dyDescent="0.2">
      <c r="A21" t="str">
        <f>D7</f>
        <v>VSX</v>
      </c>
      <c r="C21" s="7">
        <f>C$7</f>
        <v>53090.535999999847</v>
      </c>
      <c r="D21" s="7" t="s">
        <v>13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-4.8845382863290515E-4</v>
      </c>
      <c r="Q21" s="1">
        <f t="shared" ref="Q21:Q27" si="4">+C21-15018.5</f>
        <v>38072.035999999847</v>
      </c>
    </row>
    <row r="22" spans="1:19" x14ac:dyDescent="0.2">
      <c r="A22" s="29" t="s">
        <v>44</v>
      </c>
      <c r="B22" s="30" t="s">
        <v>45</v>
      </c>
      <c r="C22" s="29">
        <v>55526.902499999997</v>
      </c>
      <c r="D22" s="29">
        <v>2.9999999999999997E-4</v>
      </c>
      <c r="E22">
        <f t="shared" si="0"/>
        <v>10977.096192836896</v>
      </c>
      <c r="F22">
        <f t="shared" si="1"/>
        <v>10977</v>
      </c>
      <c r="G22">
        <f t="shared" si="2"/>
        <v>2.1350000148231629E-2</v>
      </c>
      <c r="I22">
        <f t="shared" ref="I22:I27" si="5">+G22</f>
        <v>2.1350000148231629E-2</v>
      </c>
      <c r="O22">
        <f t="shared" ca="1" si="3"/>
        <v>2.2439672670278913E-2</v>
      </c>
      <c r="Q22" s="1">
        <f t="shared" si="4"/>
        <v>40508.402499999997</v>
      </c>
      <c r="S22">
        <f t="shared" ref="S22:S27" ca="1" si="6">+(O22-G22)^2</f>
        <v>1.1873862053048881E-6</v>
      </c>
    </row>
    <row r="23" spans="1:19" x14ac:dyDescent="0.2">
      <c r="A23" s="29" t="s">
        <v>46</v>
      </c>
      <c r="B23" s="30" t="s">
        <v>47</v>
      </c>
      <c r="C23" s="29">
        <v>55934.629699999998</v>
      </c>
      <c r="D23" s="29">
        <v>5.9999999999999995E-4</v>
      </c>
      <c r="E23">
        <f t="shared" si="0"/>
        <v>12814.11894570917</v>
      </c>
      <c r="F23">
        <f t="shared" si="1"/>
        <v>12814</v>
      </c>
      <c r="G23">
        <f t="shared" si="2"/>
        <v>2.6400000147987157E-2</v>
      </c>
      <c r="I23">
        <f t="shared" si="5"/>
        <v>2.6400000147987157E-2</v>
      </c>
      <c r="O23">
        <f t="shared" ca="1" si="3"/>
        <v>2.6276692655566425E-2</v>
      </c>
      <c r="Q23" s="1">
        <f t="shared" si="4"/>
        <v>40916.129699999998</v>
      </c>
      <c r="S23">
        <f t="shared" ca="1" si="6"/>
        <v>1.5204737687088942E-8</v>
      </c>
    </row>
    <row r="24" spans="1:19" x14ac:dyDescent="0.2">
      <c r="A24" s="31" t="s">
        <v>48</v>
      </c>
      <c r="B24" s="32" t="s">
        <v>45</v>
      </c>
      <c r="C24" s="31">
        <v>55944.6158</v>
      </c>
      <c r="D24" s="31">
        <v>5.0000000000000001E-4</v>
      </c>
      <c r="E24">
        <f t="shared" si="0"/>
        <v>12859.111511602398</v>
      </c>
      <c r="F24">
        <f t="shared" si="1"/>
        <v>12859</v>
      </c>
      <c r="G24">
        <f t="shared" si="2"/>
        <v>2.4750000149651896E-2</v>
      </c>
      <c r="I24">
        <f t="shared" si="5"/>
        <v>2.4750000149651896E-2</v>
      </c>
      <c r="O24">
        <f t="shared" ca="1" si="3"/>
        <v>2.6370686068379674E-2</v>
      </c>
      <c r="Q24" s="1">
        <f t="shared" si="4"/>
        <v>40926.1158</v>
      </c>
      <c r="S24">
        <f t="shared" ca="1" si="6"/>
        <v>2.6266228471625019E-6</v>
      </c>
    </row>
    <row r="25" spans="1:19" x14ac:dyDescent="0.2">
      <c r="A25" s="31" t="s">
        <v>48</v>
      </c>
      <c r="B25" s="32" t="s">
        <v>47</v>
      </c>
      <c r="C25" s="31">
        <v>55944.727299999999</v>
      </c>
      <c r="D25" s="31">
        <v>5.0000000000000001E-4</v>
      </c>
      <c r="E25">
        <f t="shared" si="0"/>
        <v>12859.613877000005</v>
      </c>
      <c r="F25">
        <f t="shared" si="1"/>
        <v>12859.5</v>
      </c>
      <c r="G25">
        <f t="shared" si="2"/>
        <v>2.5275000152760185E-2</v>
      </c>
      <c r="I25">
        <f t="shared" si="5"/>
        <v>2.5275000152760185E-2</v>
      </c>
      <c r="O25">
        <f t="shared" ca="1" si="3"/>
        <v>2.6371730439633156E-2</v>
      </c>
      <c r="Q25" s="1">
        <f t="shared" si="4"/>
        <v>40926.227299999999</v>
      </c>
      <c r="S25">
        <f t="shared" ca="1" si="6"/>
        <v>1.2028173221444681E-6</v>
      </c>
    </row>
    <row r="26" spans="1:19" x14ac:dyDescent="0.2">
      <c r="A26" s="33" t="s">
        <v>49</v>
      </c>
      <c r="B26" s="34" t="s">
        <v>47</v>
      </c>
      <c r="C26" s="35">
        <v>56238.816200000001</v>
      </c>
      <c r="D26" s="35">
        <v>6.0000000000000006E-4</v>
      </c>
      <c r="E26">
        <f t="shared" si="0"/>
        <v>14184.637080424211</v>
      </c>
      <c r="F26">
        <f t="shared" si="1"/>
        <v>14184.5</v>
      </c>
      <c r="G26">
        <f t="shared" si="2"/>
        <v>3.0425000149989501E-2</v>
      </c>
      <c r="I26">
        <f t="shared" si="5"/>
        <v>3.0425000149989501E-2</v>
      </c>
      <c r="O26">
        <f t="shared" ca="1" si="3"/>
        <v>2.9139314261356592E-2</v>
      </c>
      <c r="Q26" s="1">
        <f t="shared" si="4"/>
        <v>41220.316200000001</v>
      </c>
      <c r="S26">
        <f t="shared" ca="1" si="6"/>
        <v>1.6529882042297917E-6</v>
      </c>
    </row>
    <row r="27" spans="1:19" x14ac:dyDescent="0.2">
      <c r="A27" s="33" t="s">
        <v>49</v>
      </c>
      <c r="B27" s="34" t="s">
        <v>45</v>
      </c>
      <c r="C27" s="35">
        <v>56238.927799999998</v>
      </c>
      <c r="D27" s="35">
        <v>5.0000000000000001E-4</v>
      </c>
      <c r="E27">
        <f t="shared" si="0"/>
        <v>14185.139896373734</v>
      </c>
      <c r="F27">
        <f t="shared" si="1"/>
        <v>14185</v>
      </c>
      <c r="G27">
        <f t="shared" si="2"/>
        <v>3.1050000150571577E-2</v>
      </c>
      <c r="I27">
        <f t="shared" si="5"/>
        <v>3.1050000150571577E-2</v>
      </c>
      <c r="O27">
        <f t="shared" ca="1" si="3"/>
        <v>2.9140358632610074E-2</v>
      </c>
      <c r="Q27" s="1">
        <f t="shared" si="4"/>
        <v>41220.427799999998</v>
      </c>
      <c r="S27">
        <f t="shared" ca="1" si="6"/>
        <v>3.6467307271223157E-6</v>
      </c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2024-07-29T08:48:25Z</dcterms:modified>
</cp:coreProperties>
</file>