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365549F-AC77-42A4-BCC3-AEF69C4805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Inactive" sheetId="1" r:id="rId2"/>
  </sheets>
  <calcPr calcId="181029"/>
</workbook>
</file>

<file path=xl/calcChain.xml><?xml version="1.0" encoding="utf-8"?>
<calcChain xmlns="http://schemas.openxmlformats.org/spreadsheetml/2006/main">
  <c r="F14" i="2" l="1"/>
  <c r="G11" i="2"/>
  <c r="F11" i="2"/>
  <c r="C17" i="2"/>
  <c r="C7" i="2"/>
  <c r="E21" i="2"/>
  <c r="F21" i="2"/>
  <c r="C8" i="2"/>
  <c r="Q21" i="2"/>
  <c r="Q22" i="2"/>
  <c r="Q23" i="2"/>
  <c r="Q24" i="2"/>
  <c r="Q25" i="2"/>
  <c r="Q26" i="2"/>
  <c r="Q26" i="1"/>
  <c r="C17" i="1"/>
  <c r="C7" i="1"/>
  <c r="C8" i="1"/>
  <c r="E21" i="1"/>
  <c r="F21" i="1"/>
  <c r="Q21" i="1"/>
  <c r="Q23" i="1"/>
  <c r="Q24" i="1"/>
  <c r="Q25" i="1"/>
  <c r="Q22" i="1"/>
  <c r="G21" i="1"/>
  <c r="E26" i="2"/>
  <c r="F26" i="2"/>
  <c r="E22" i="2"/>
  <c r="F22" i="2"/>
  <c r="E22" i="1"/>
  <c r="F22" i="1"/>
  <c r="G22" i="1"/>
  <c r="H22" i="1"/>
  <c r="E23" i="2"/>
  <c r="F23" i="2"/>
  <c r="G23" i="2"/>
  <c r="I23" i="2"/>
  <c r="G26" i="2"/>
  <c r="J26" i="2"/>
  <c r="E24" i="1"/>
  <c r="F24" i="1"/>
  <c r="G24" i="1"/>
  <c r="I24" i="1"/>
  <c r="E23" i="1"/>
  <c r="F23" i="1"/>
  <c r="G23" i="1"/>
  <c r="I23" i="1"/>
  <c r="E26" i="1"/>
  <c r="F26" i="1"/>
  <c r="G26" i="1"/>
  <c r="I26" i="1"/>
  <c r="E24" i="2"/>
  <c r="F24" i="2"/>
  <c r="G24" i="2"/>
  <c r="I24" i="2"/>
  <c r="G21" i="2"/>
  <c r="E25" i="1"/>
  <c r="F25" i="1"/>
  <c r="G25" i="1"/>
  <c r="I25" i="1"/>
  <c r="E25" i="2"/>
  <c r="F25" i="2"/>
  <c r="G25" i="2"/>
  <c r="I25" i="2"/>
  <c r="G22" i="2"/>
  <c r="H22" i="2"/>
  <c r="C12" i="1"/>
  <c r="C16" i="1"/>
  <c r="D18" i="1"/>
  <c r="I21" i="1"/>
  <c r="C11" i="1"/>
  <c r="I21" i="2"/>
  <c r="O26" i="1"/>
  <c r="O25" i="1"/>
  <c r="O23" i="1"/>
  <c r="O22" i="1"/>
  <c r="O24" i="1"/>
  <c r="O21" i="1"/>
  <c r="C15" i="1"/>
  <c r="C18" i="1"/>
  <c r="C12" i="2"/>
  <c r="F15" i="2" l="1"/>
  <c r="C16" i="2"/>
  <c r="D18" i="2" s="1"/>
  <c r="C11" i="2"/>
  <c r="O21" i="2" l="1"/>
  <c r="O25" i="2"/>
  <c r="O24" i="2"/>
  <c r="C15" i="2"/>
  <c r="O26" i="2"/>
  <c r="O22" i="2"/>
  <c r="O23" i="2"/>
  <c r="F16" i="2" l="1"/>
  <c r="F18" i="2" s="1"/>
  <c r="C18" i="2"/>
  <c r="F17" i="2" l="1"/>
</calcChain>
</file>

<file path=xl/sharedStrings.xml><?xml version="1.0" encoding="utf-8"?>
<sst xmlns="http://schemas.openxmlformats.org/spreadsheetml/2006/main" count="116" uniqueCount="57">
  <si>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</si>
  <si>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</si>
  <si>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</si>
  <si>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</si>
  <si>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</si>
  <si>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</si>
  <si>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</si>
  <si>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</si>
  <si>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</si>
  <si>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</si>
  <si>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</si>
  <si>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</si>
  <si>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</si>
  <si>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</si>
  <si>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</si>
  <si>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</si>
  <si>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</si>
  <si>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</si>
  <si>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</si>
  <si>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</si>
  <si>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</si>
  <si>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</si>
  <si>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</si>
  <si>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</si>
  <si>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</si>
  <si>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</si>
  <si>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</si>
  <si>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</si>
  <si>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</si>
  <si>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</si>
  <si>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</si>
  <si>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</si>
  <si>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Bull.11</t>
  </si>
  <si>
    <t>B</t>
  </si>
  <si>
    <t>BBSAG Bull.25</t>
  </si>
  <si>
    <t>BBSAG Bull.24</t>
  </si>
  <si>
    <t>BBSAG</t>
  </si>
  <si>
    <t>Huh?</t>
  </si>
  <si>
    <t># of data points:</t>
  </si>
  <si>
    <t>IBVS 5603</t>
  </si>
  <si>
    <t>I</t>
  </si>
  <si>
    <t>E</t>
  </si>
  <si>
    <t>W For / na</t>
  </si>
  <si>
    <t>W For / gsc 6434-1293?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</si>
  <si>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</si>
  <si>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</si>
  <si>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</si>
  <si>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</si>
  <si>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</si>
  <si>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</si>
  <si>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</si>
  <si>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CCD</t>
  </si>
  <si>
    <t>Next ToM-P</t>
  </si>
  <si>
    <t>Next ToM-S</t>
  </si>
  <si>
    <t>12.90-13.70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</si>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</sst>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13" fillId="0" borderId="0" xfId="0" applyFont="1" applyAlignment="1"/>
    <xf numFmtId="14" fontId="13" fillId="0" borderId="0" xfId="0" applyNumberFormat="1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8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13" fillId="2" borderId="6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For - O-C Diagr.</a:t>
            </a:r>
          </a:p>
        </c:rich>
      </c:tx>
      <c:layout>
        <c:manualLayout>
          <c:xMode val="edge"/>
          <c:yMode val="edge"/>
          <c:x val="0.37158527315233136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2723351269623"/>
          <c:y val="0.14953316519776211"/>
          <c:w val="0.78870814248232313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-695.5</c:v>
                </c:pt>
                <c:pt idx="1">
                  <c:v>0</c:v>
                </c:pt>
                <c:pt idx="2">
                  <c:v>495.5</c:v>
                </c:pt>
                <c:pt idx="3">
                  <c:v>571.5</c:v>
                </c:pt>
                <c:pt idx="4">
                  <c:v>665</c:v>
                </c:pt>
                <c:pt idx="5">
                  <c:v>17260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72-4E73-BD71-7EB9C8A1F13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-695.5</c:v>
                </c:pt>
                <c:pt idx="1">
                  <c:v>0</c:v>
                </c:pt>
                <c:pt idx="2">
                  <c:v>495.5</c:v>
                </c:pt>
                <c:pt idx="3">
                  <c:v>571.5</c:v>
                </c:pt>
                <c:pt idx="4">
                  <c:v>665</c:v>
                </c:pt>
                <c:pt idx="5">
                  <c:v>17260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-5.4472850002639461E-2</c:v>
                </c:pt>
                <c:pt idx="2">
                  <c:v>-1.506715000141412E-2</c:v>
                </c:pt>
                <c:pt idx="3">
                  <c:v>-5.6021950003923848E-2</c:v>
                </c:pt>
                <c:pt idx="4">
                  <c:v>-7.5354500004323199E-2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72-4E73-BD71-7EB9C8A1F13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-695.5</c:v>
                </c:pt>
                <c:pt idx="1">
                  <c:v>0</c:v>
                </c:pt>
                <c:pt idx="2">
                  <c:v>495.5</c:v>
                </c:pt>
                <c:pt idx="3">
                  <c:v>571.5</c:v>
                </c:pt>
                <c:pt idx="4">
                  <c:v>665</c:v>
                </c:pt>
                <c:pt idx="5">
                  <c:v>17260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5">
                  <c:v>8.7019999991753139E-3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72-4E73-BD71-7EB9C8A1F13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-695.5</c:v>
                </c:pt>
                <c:pt idx="1">
                  <c:v>0</c:v>
                </c:pt>
                <c:pt idx="2">
                  <c:v>495.5</c:v>
                </c:pt>
                <c:pt idx="3">
                  <c:v>571.5</c:v>
                </c:pt>
                <c:pt idx="4">
                  <c:v>665</c:v>
                </c:pt>
                <c:pt idx="5">
                  <c:v>17260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72-4E73-BD71-7EB9C8A1F13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-695.5</c:v>
                </c:pt>
                <c:pt idx="1">
                  <c:v>0</c:v>
                </c:pt>
                <c:pt idx="2">
                  <c:v>495.5</c:v>
                </c:pt>
                <c:pt idx="3">
                  <c:v>571.5</c:v>
                </c:pt>
                <c:pt idx="4">
                  <c:v>665</c:v>
                </c:pt>
                <c:pt idx="5">
                  <c:v>17260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72-4E73-BD71-7EB9C8A1F13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-695.5</c:v>
                </c:pt>
                <c:pt idx="1">
                  <c:v>0</c:v>
                </c:pt>
                <c:pt idx="2">
                  <c:v>495.5</c:v>
                </c:pt>
                <c:pt idx="3">
                  <c:v>571.5</c:v>
                </c:pt>
                <c:pt idx="4">
                  <c:v>665</c:v>
                </c:pt>
                <c:pt idx="5">
                  <c:v>17260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72-4E73-BD71-7EB9C8A1F13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-695.5</c:v>
                </c:pt>
                <c:pt idx="1">
                  <c:v>0</c:v>
                </c:pt>
                <c:pt idx="2">
                  <c:v>495.5</c:v>
                </c:pt>
                <c:pt idx="3">
                  <c:v>571.5</c:v>
                </c:pt>
                <c:pt idx="4">
                  <c:v>665</c:v>
                </c:pt>
                <c:pt idx="5">
                  <c:v>17260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72-4E73-BD71-7EB9C8A1F13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-695.5</c:v>
                </c:pt>
                <c:pt idx="1">
                  <c:v>0</c:v>
                </c:pt>
                <c:pt idx="2">
                  <c:v>495.5</c:v>
                </c:pt>
                <c:pt idx="3">
                  <c:v>571.5</c:v>
                </c:pt>
                <c:pt idx="4">
                  <c:v>665</c:v>
                </c:pt>
                <c:pt idx="5">
                  <c:v>17260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0">
                  <c:v>-4.2560210090541659E-2</c:v>
                </c:pt>
                <c:pt idx="1">
                  <c:v>-4.0605622461813755E-2</c:v>
                </c:pt>
                <c:pt idx="2">
                  <c:v>-3.9213101728478486E-2</c:v>
                </c:pt>
                <c:pt idx="3">
                  <c:v>-3.8999516308229287E-2</c:v>
                </c:pt>
                <c:pt idx="4">
                  <c:v>-3.8736750034633227E-2</c:v>
                </c:pt>
                <c:pt idx="5">
                  <c:v>7.9007506105710917E-3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72-4E73-BD71-7EB9C8A1F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695592"/>
        <c:axId val="1"/>
      </c:scatterChart>
      <c:valAx>
        <c:axId val="705695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6962647428638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695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61221309084998"/>
          <c:y val="0.91900605882208652"/>
          <c:w val="0.83971009088344828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For - O-C Diagr.</a:t>
            </a:r>
          </a:p>
        </c:rich>
      </c:tx>
      <c:layout>
        <c:manualLayout>
          <c:xMode val="edge"/>
          <c:yMode val="edge"/>
          <c:x val="0.3533062189540356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53316519776211"/>
          <c:w val="0.7623974633561702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Inactive!$F$21:$F$992</c:f>
              <c:numCache>
                <c:formatCode>General</c:formatCode>
                <c:ptCount val="972"/>
                <c:pt idx="0">
                  <c:v>-695.5</c:v>
                </c:pt>
                <c:pt idx="1">
                  <c:v>0</c:v>
                </c:pt>
                <c:pt idx="2">
                  <c:v>495.5</c:v>
                </c:pt>
                <c:pt idx="3">
                  <c:v>571.5</c:v>
                </c:pt>
                <c:pt idx="4">
                  <c:v>665</c:v>
                </c:pt>
                <c:pt idx="5">
                  <c:v>17260</c:v>
                </c:pt>
              </c:numCache>
            </c:numRef>
          </c:xVal>
          <c:yVal>
            <c:numRef>
              <c:f>Inactive!$H$21:$H$992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13-49BC-826B-3B80AB9C8A90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Inactive!$D$21:$D$992</c:f>
                <c:numCache>
                  <c:formatCode>General</c:formatCode>
                  <c:ptCount val="9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Inactive!$D$21:$D$992</c:f>
                <c:numCache>
                  <c:formatCode>General</c:formatCode>
                  <c:ptCount val="9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Inactive!$F$21:$F$992</c:f>
              <c:numCache>
                <c:formatCode>General</c:formatCode>
                <c:ptCount val="972"/>
                <c:pt idx="0">
                  <c:v>-695.5</c:v>
                </c:pt>
                <c:pt idx="1">
                  <c:v>0</c:v>
                </c:pt>
                <c:pt idx="2">
                  <c:v>495.5</c:v>
                </c:pt>
                <c:pt idx="3">
                  <c:v>571.5</c:v>
                </c:pt>
                <c:pt idx="4">
                  <c:v>665</c:v>
                </c:pt>
                <c:pt idx="5">
                  <c:v>17260</c:v>
                </c:pt>
              </c:numCache>
            </c:numRef>
          </c:xVal>
          <c:yVal>
            <c:numRef>
              <c:f>Inactive!$I$21:$I$992</c:f>
              <c:numCache>
                <c:formatCode>General</c:formatCode>
                <c:ptCount val="972"/>
                <c:pt idx="0">
                  <c:v>-5.4472850002639461E-2</c:v>
                </c:pt>
                <c:pt idx="2">
                  <c:v>-1.506715000141412E-2</c:v>
                </c:pt>
                <c:pt idx="3">
                  <c:v>-5.6021950003923848E-2</c:v>
                </c:pt>
                <c:pt idx="4">
                  <c:v>-7.5354500004323199E-2</c:v>
                </c:pt>
                <c:pt idx="5">
                  <c:v>8.7019999991753139E-3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13-49BC-826B-3B80AB9C8A90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Inactive!$D$21:$D$43</c:f>
                <c:numCache>
                  <c:formatCode>General</c:formatCode>
                  <c:ptCount val="23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Inactive!$D$21:$D$43</c:f>
                <c:numCache>
                  <c:formatCode>General</c:formatCode>
                  <c:ptCount val="23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Inactive!$F$21:$F$992</c:f>
              <c:numCache>
                <c:formatCode>General</c:formatCode>
                <c:ptCount val="972"/>
                <c:pt idx="0">
                  <c:v>-695.5</c:v>
                </c:pt>
                <c:pt idx="1">
                  <c:v>0</c:v>
                </c:pt>
                <c:pt idx="2">
                  <c:v>495.5</c:v>
                </c:pt>
                <c:pt idx="3">
                  <c:v>571.5</c:v>
                </c:pt>
                <c:pt idx="4">
                  <c:v>665</c:v>
                </c:pt>
                <c:pt idx="5">
                  <c:v>17260</c:v>
                </c:pt>
              </c:numCache>
            </c:numRef>
          </c:xVal>
          <c:yVal>
            <c:numRef>
              <c:f>Inactive!$J$21:$J$992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13-49BC-826B-3B80AB9C8A90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Inactive!$D$21:$D$92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Inactive!$F$21:$F$992</c:f>
              <c:numCache>
                <c:formatCode>General</c:formatCode>
                <c:ptCount val="972"/>
                <c:pt idx="0">
                  <c:v>-695.5</c:v>
                </c:pt>
                <c:pt idx="1">
                  <c:v>0</c:v>
                </c:pt>
                <c:pt idx="2">
                  <c:v>495.5</c:v>
                </c:pt>
                <c:pt idx="3">
                  <c:v>571.5</c:v>
                </c:pt>
                <c:pt idx="4">
                  <c:v>665</c:v>
                </c:pt>
                <c:pt idx="5">
                  <c:v>17260</c:v>
                </c:pt>
              </c:numCache>
            </c:numRef>
          </c:xVal>
          <c:yVal>
            <c:numRef>
              <c:f>Inactive!$K$21:$K$992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13-49BC-826B-3B80AB9C8A90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Inactive!$D$21:$D$92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Inactive!$F$21:$F$992</c:f>
              <c:numCache>
                <c:formatCode>General</c:formatCode>
                <c:ptCount val="972"/>
                <c:pt idx="0">
                  <c:v>-695.5</c:v>
                </c:pt>
                <c:pt idx="1">
                  <c:v>0</c:v>
                </c:pt>
                <c:pt idx="2">
                  <c:v>495.5</c:v>
                </c:pt>
                <c:pt idx="3">
                  <c:v>571.5</c:v>
                </c:pt>
                <c:pt idx="4">
                  <c:v>665</c:v>
                </c:pt>
                <c:pt idx="5">
                  <c:v>17260</c:v>
                </c:pt>
              </c:numCache>
            </c:numRef>
          </c:xVal>
          <c:yVal>
            <c:numRef>
              <c:f>Inactive!$L$21:$L$992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13-49BC-826B-3B80AB9C8A90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Inactive!$D$21:$D$92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Inactive!$F$21:$F$992</c:f>
              <c:numCache>
                <c:formatCode>General</c:formatCode>
                <c:ptCount val="972"/>
                <c:pt idx="0">
                  <c:v>-695.5</c:v>
                </c:pt>
                <c:pt idx="1">
                  <c:v>0</c:v>
                </c:pt>
                <c:pt idx="2">
                  <c:v>495.5</c:v>
                </c:pt>
                <c:pt idx="3">
                  <c:v>571.5</c:v>
                </c:pt>
                <c:pt idx="4">
                  <c:v>665</c:v>
                </c:pt>
                <c:pt idx="5">
                  <c:v>17260</c:v>
                </c:pt>
              </c:numCache>
            </c:numRef>
          </c:xVal>
          <c:yVal>
            <c:numRef>
              <c:f>Inactive!$M$21:$M$992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13-49BC-826B-3B80AB9C8A90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Inactive!$D$21:$D$92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Inactive!$F$21:$F$992</c:f>
              <c:numCache>
                <c:formatCode>General</c:formatCode>
                <c:ptCount val="972"/>
                <c:pt idx="0">
                  <c:v>-695.5</c:v>
                </c:pt>
                <c:pt idx="1">
                  <c:v>0</c:v>
                </c:pt>
                <c:pt idx="2">
                  <c:v>495.5</c:v>
                </c:pt>
                <c:pt idx="3">
                  <c:v>571.5</c:v>
                </c:pt>
                <c:pt idx="4">
                  <c:v>665</c:v>
                </c:pt>
                <c:pt idx="5">
                  <c:v>17260</c:v>
                </c:pt>
              </c:numCache>
            </c:numRef>
          </c:xVal>
          <c:yVal>
            <c:numRef>
              <c:f>Inactive!$N$21:$N$992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13-49BC-826B-3B80AB9C8A90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Inactive!$F$21:$F$992</c:f>
              <c:numCache>
                <c:formatCode>General</c:formatCode>
                <c:ptCount val="972"/>
                <c:pt idx="0">
                  <c:v>-695.5</c:v>
                </c:pt>
                <c:pt idx="1">
                  <c:v>0</c:v>
                </c:pt>
                <c:pt idx="2">
                  <c:v>495.5</c:v>
                </c:pt>
                <c:pt idx="3">
                  <c:v>571.5</c:v>
                </c:pt>
                <c:pt idx="4">
                  <c:v>665</c:v>
                </c:pt>
                <c:pt idx="5">
                  <c:v>17260</c:v>
                </c:pt>
              </c:numCache>
            </c:numRef>
          </c:xVal>
          <c:yVal>
            <c:numRef>
              <c:f>Inactive!$O$21:$O$992</c:f>
              <c:numCache>
                <c:formatCode>General</c:formatCode>
                <c:ptCount val="972"/>
                <c:pt idx="0">
                  <c:v>-4.2560210090541659E-2</c:v>
                </c:pt>
                <c:pt idx="1">
                  <c:v>-4.0605622461813755E-2</c:v>
                </c:pt>
                <c:pt idx="2">
                  <c:v>-3.9213101728478486E-2</c:v>
                </c:pt>
                <c:pt idx="3">
                  <c:v>-3.8999516308229287E-2</c:v>
                </c:pt>
                <c:pt idx="4">
                  <c:v>-3.8736750034633227E-2</c:v>
                </c:pt>
                <c:pt idx="5">
                  <c:v>7.9007506105710917E-3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13-49BC-826B-3B80AB9C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957136"/>
        <c:axId val="1"/>
      </c:scatterChart>
      <c:valAx>
        <c:axId val="715957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957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900605882208652"/>
          <c:w val="0.95248020650311271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38101</xdr:rowOff>
    </xdr:from>
    <xdr:to>
      <xdr:col>16</xdr:col>
      <xdr:colOff>552450</xdr:colOff>
      <xdr:row>18</xdr:row>
      <xdr:rowOff>47626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706358D9-50CC-A882-5095-76B9F16B6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9746F6D-E3F0-C9EB-84F0-CF12CB12B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D45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6" sqref="F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3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43</v>
      </c>
    </row>
    <row r="2" spans="1:7" ht="12.95" customHeight="1">
      <c r="A2" t="s">
        <v>27</v>
      </c>
      <c r="B2" s="19" t="s">
        <v>41</v>
      </c>
      <c r="C2" s="12" t="s">
        <v>37</v>
      </c>
    </row>
    <row r="3" spans="1:7" ht="12.95" customHeight="1" thickBot="1"/>
    <row r="4" spans="1:7" ht="12.95" customHeight="1">
      <c r="A4" s="8" t="s">
        <v>0</v>
      </c>
      <c r="C4" s="3">
        <v>42363.44</v>
      </c>
      <c r="D4" s="4">
        <v>0.61790730000000005</v>
      </c>
    </row>
    <row r="5" spans="1:7" ht="12.95" customHeight="1"/>
    <row r="6" spans="1:7" ht="12.95" customHeight="1">
      <c r="A6" s="8" t="s">
        <v>1</v>
      </c>
    </row>
    <row r="7" spans="1:7" ht="12.95" customHeight="1">
      <c r="A7" t="s">
        <v>2</v>
      </c>
      <c r="C7">
        <f>+C4</f>
        <v>42363.44</v>
      </c>
      <c r="D7" s="20" t="s">
        <v>56</v>
      </c>
    </row>
    <row r="8" spans="1:7" ht="12.95" customHeight="1">
      <c r="A8" t="s">
        <v>3</v>
      </c>
      <c r="C8">
        <f>+D4</f>
        <v>0.61790730000000005</v>
      </c>
      <c r="D8" s="20" t="s">
        <v>56</v>
      </c>
    </row>
    <row r="9" spans="1:7" ht="12.95" customHeight="1">
      <c r="A9" s="24" t="s">
        <v>44</v>
      </c>
      <c r="B9" s="25"/>
      <c r="C9" s="26">
        <v>-9.5</v>
      </c>
      <c r="D9" s="25" t="s">
        <v>45</v>
      </c>
      <c r="E9" s="25"/>
    </row>
    <row r="10" spans="1:7" ht="12.95" customHeight="1" thickBot="1">
      <c r="A10" s="25"/>
      <c r="B10" s="25"/>
      <c r="C10" s="7" t="s">
        <v>22</v>
      </c>
      <c r="D10" s="7" t="s">
        <v>23</v>
      </c>
      <c r="E10" s="25"/>
    </row>
    <row r="11" spans="1:7" ht="12.95" customHeight="1">
      <c r="A11" s="25" t="s">
        <v>16</v>
      </c>
      <c r="B11" s="25"/>
      <c r="C11" s="27">
        <f ca="1">INTERCEPT(INDIRECT($G$11):G992,INDIRECT($F$11):F992)</f>
        <v>-4.0605622461813755E-2</v>
      </c>
      <c r="D11" s="6"/>
      <c r="E11" s="25"/>
      <c r="F11" s="28" t="str">
        <f>"F"&amp;E19</f>
        <v>F21</v>
      </c>
      <c r="G11" s="29" t="str">
        <f>"G"&amp;E19</f>
        <v>G21</v>
      </c>
    </row>
    <row r="12" spans="1:7" ht="12.95" customHeight="1">
      <c r="A12" s="25" t="s">
        <v>17</v>
      </c>
      <c r="B12" s="25"/>
      <c r="C12" s="27">
        <f ca="1">SLOPE(INDIRECT($G$11):G992,INDIRECT($F$11):F992)</f>
        <v>2.8103344769632007E-6</v>
      </c>
      <c r="D12" s="6"/>
      <c r="E12" s="40" t="s">
        <v>55</v>
      </c>
      <c r="F12" s="41" t="s">
        <v>54</v>
      </c>
    </row>
    <row r="13" spans="1:7" ht="12.95" customHeight="1">
      <c r="A13" s="25" t="s">
        <v>21</v>
      </c>
      <c r="B13" s="25"/>
      <c r="C13" s="6" t="s">
        <v>14</v>
      </c>
      <c r="D13" s="31"/>
      <c r="E13" s="37" t="s">
        <v>49</v>
      </c>
      <c r="F13" s="42">
        <v>1</v>
      </c>
    </row>
    <row r="14" spans="1:7" ht="12.95" customHeight="1">
      <c r="A14" s="25"/>
      <c r="B14" s="25"/>
      <c r="C14" s="25"/>
      <c r="D14" s="31"/>
      <c r="E14" s="37" t="s">
        <v>46</v>
      </c>
      <c r="F14" s="43">
        <f ca="1">NOW()+15018.5+$C$9/24</f>
        <v>60537.737126851847</v>
      </c>
    </row>
    <row r="15" spans="1:7" ht="12.95" customHeight="1">
      <c r="A15" s="30" t="s">
        <v>18</v>
      </c>
      <c r="B15" s="25"/>
      <c r="C15" s="13">
        <f ca="1">(C7+C11)+(C8+C12)*INT(MAX(F21:F3533))</f>
        <v>53028.527898750617</v>
      </c>
      <c r="D15" s="31"/>
      <c r="E15" s="37" t="s">
        <v>50</v>
      </c>
      <c r="F15" s="43">
        <f ca="1">ROUND(2*($F$14-$C$7)/$C$8,0)/2+$F$13</f>
        <v>29413.5</v>
      </c>
    </row>
    <row r="16" spans="1:7" ht="12.95" customHeight="1">
      <c r="A16" s="32" t="s">
        <v>4</v>
      </c>
      <c r="B16" s="25"/>
      <c r="C16" s="14">
        <f ca="1">+C8+C12</f>
        <v>0.61791011033447696</v>
      </c>
      <c r="D16" s="31"/>
      <c r="E16" s="37" t="s">
        <v>47</v>
      </c>
      <c r="F16" s="43">
        <f ca="1">ROUND(2*($F$14-$C$15)/$C$16,0)/2+$F$13</f>
        <v>12153.5</v>
      </c>
    </row>
    <row r="17" spans="1:30" ht="12.95" customHeight="1" thickBot="1">
      <c r="A17" s="31" t="s">
        <v>38</v>
      </c>
      <c r="B17" s="25"/>
      <c r="C17" s="25">
        <f>COUNT(C21:C2191)</f>
        <v>6</v>
      </c>
      <c r="D17" s="31"/>
      <c r="E17" s="38" t="s">
        <v>52</v>
      </c>
      <c r="F17" s="44">
        <f ca="1">+$C$15+$C$16*$F$16-15018.5-$C$9/24</f>
        <v>45520.194258034018</v>
      </c>
    </row>
    <row r="18" spans="1:30" ht="12.95" customHeight="1">
      <c r="A18" s="32" t="s">
        <v>5</v>
      </c>
      <c r="B18" s="25"/>
      <c r="C18" s="33">
        <f ca="1">+C15</f>
        <v>53028.527898750617</v>
      </c>
      <c r="D18" s="34">
        <f ca="1">+C16</f>
        <v>0.61791011033447696</v>
      </c>
      <c r="E18" s="39" t="s">
        <v>53</v>
      </c>
      <c r="F18" s="45">
        <f ca="1">+($C$15+$C$16*$F$16)-($C$16/2)-15018.5-$C$9/24</f>
        <v>45519.885302978852</v>
      </c>
    </row>
    <row r="19" spans="1:30" ht="12.95" customHeight="1" thickTop="1">
      <c r="A19" s="35" t="s">
        <v>48</v>
      </c>
      <c r="E19" s="36">
        <v>21</v>
      </c>
    </row>
    <row r="20" spans="1:30" ht="12.95" customHeight="1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36</v>
      </c>
      <c r="J20" s="10" t="s">
        <v>51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30" s="20" customFormat="1" ht="12.95" customHeight="1">
      <c r="A21" s="20" t="s">
        <v>32</v>
      </c>
      <c r="C21" s="22">
        <v>41933.631000000001</v>
      </c>
      <c r="D21" s="22"/>
      <c r="E21" s="20">
        <f t="shared" ref="E21:E26" si="0">+(C21-C$7)/C$8</f>
        <v>-695.58815699377737</v>
      </c>
      <c r="F21" s="20">
        <f t="shared" ref="F21:F26" si="1">ROUND(2*E21,0)/2</f>
        <v>-695.5</v>
      </c>
      <c r="G21" s="20">
        <f t="shared" ref="G21:G26" si="2">+C21-(C$7+F21*C$8)</f>
        <v>-5.4472850002639461E-2</v>
      </c>
      <c r="I21" s="20">
        <f>+G21</f>
        <v>-5.4472850002639461E-2</v>
      </c>
      <c r="O21" s="20">
        <f t="shared" ref="O21:O26" ca="1" si="3">+C$11+C$12*$F21</f>
        <v>-4.2560210090541659E-2</v>
      </c>
      <c r="Q21" s="21">
        <f t="shared" ref="Q21:Q26" si="4">+C21-15018.5</f>
        <v>26915.131000000001</v>
      </c>
      <c r="AA21" s="20">
        <v>5</v>
      </c>
      <c r="AB21" s="20" t="s">
        <v>31</v>
      </c>
      <c r="AD21" s="20" t="s">
        <v>33</v>
      </c>
    </row>
    <row r="22" spans="1:30" s="20" customFormat="1" ht="12.95" customHeight="1">
      <c r="A22" s="20" t="s">
        <v>12</v>
      </c>
      <c r="C22" s="22">
        <v>42363.44</v>
      </c>
      <c r="D22" s="22" t="s">
        <v>14</v>
      </c>
      <c r="E22" s="20">
        <f t="shared" si="0"/>
        <v>0</v>
      </c>
      <c r="F22" s="20">
        <f t="shared" si="1"/>
        <v>0</v>
      </c>
      <c r="G22" s="20">
        <f t="shared" si="2"/>
        <v>0</v>
      </c>
      <c r="H22" s="20">
        <f>+G22</f>
        <v>0</v>
      </c>
      <c r="O22" s="20">
        <f t="shared" ca="1" si="3"/>
        <v>-4.0605622461813755E-2</v>
      </c>
      <c r="Q22" s="21">
        <f t="shared" si="4"/>
        <v>27344.940000000002</v>
      </c>
    </row>
    <row r="23" spans="1:30" s="20" customFormat="1" ht="12.95" customHeight="1">
      <c r="A23" s="20" t="s">
        <v>34</v>
      </c>
      <c r="C23" s="22">
        <v>42669.597999999998</v>
      </c>
      <c r="D23" s="22"/>
      <c r="E23" s="20">
        <f t="shared" si="0"/>
        <v>495.47561584075117</v>
      </c>
      <c r="F23" s="20">
        <f t="shared" si="1"/>
        <v>495.5</v>
      </c>
      <c r="G23" s="20">
        <f t="shared" si="2"/>
        <v>-1.506715000141412E-2</v>
      </c>
      <c r="I23" s="20">
        <f>+G23</f>
        <v>-1.506715000141412E-2</v>
      </c>
      <c r="O23" s="20">
        <f t="shared" ca="1" si="3"/>
        <v>-3.9213101728478486E-2</v>
      </c>
      <c r="Q23" s="21">
        <f t="shared" si="4"/>
        <v>27651.097999999998</v>
      </c>
      <c r="AA23" s="20">
        <v>5</v>
      </c>
      <c r="AB23" s="20" t="s">
        <v>31</v>
      </c>
      <c r="AD23" s="20" t="s">
        <v>33</v>
      </c>
    </row>
    <row r="24" spans="1:30" s="20" customFormat="1" ht="12.95" customHeight="1">
      <c r="A24" s="20" t="s">
        <v>35</v>
      </c>
      <c r="C24" s="22">
        <v>42716.517999999996</v>
      </c>
      <c r="D24" s="22"/>
      <c r="E24" s="20">
        <f t="shared" si="0"/>
        <v>571.40933599585901</v>
      </c>
      <c r="F24" s="20">
        <f t="shared" si="1"/>
        <v>571.5</v>
      </c>
      <c r="G24" s="20">
        <f t="shared" si="2"/>
        <v>-5.6021950003923848E-2</v>
      </c>
      <c r="I24" s="20">
        <f>+G24</f>
        <v>-5.6021950003923848E-2</v>
      </c>
      <c r="O24" s="20">
        <f t="shared" ca="1" si="3"/>
        <v>-3.8999516308229287E-2</v>
      </c>
      <c r="Q24" s="21">
        <f t="shared" si="4"/>
        <v>27698.017999999996</v>
      </c>
      <c r="AA24" s="20">
        <v>4</v>
      </c>
      <c r="AB24" s="20" t="s">
        <v>31</v>
      </c>
      <c r="AD24" s="20" t="s">
        <v>33</v>
      </c>
    </row>
    <row r="25" spans="1:30" s="20" customFormat="1" ht="12.95" customHeight="1">
      <c r="A25" s="20" t="s">
        <v>34</v>
      </c>
      <c r="C25" s="22">
        <v>42774.273000000001</v>
      </c>
      <c r="D25" s="22"/>
      <c r="E25" s="20">
        <f t="shared" si="0"/>
        <v>664.87804885943035</v>
      </c>
      <c r="F25" s="20">
        <f t="shared" si="1"/>
        <v>665</v>
      </c>
      <c r="G25" s="20">
        <f t="shared" si="2"/>
        <v>-7.5354500004323199E-2</v>
      </c>
      <c r="I25" s="20">
        <f>+G25</f>
        <v>-7.5354500004323199E-2</v>
      </c>
      <c r="O25" s="20">
        <f t="shared" ca="1" si="3"/>
        <v>-3.8736750034633227E-2</v>
      </c>
      <c r="Q25" s="21">
        <f t="shared" si="4"/>
        <v>27755.773000000001</v>
      </c>
      <c r="AA25" s="20">
        <v>5</v>
      </c>
      <c r="AB25" s="20" t="s">
        <v>31</v>
      </c>
      <c r="AD25" s="20" t="s">
        <v>33</v>
      </c>
    </row>
    <row r="26" spans="1:30" s="20" customFormat="1" ht="12.95" customHeight="1">
      <c r="A26" s="16" t="s">
        <v>39</v>
      </c>
      <c r="B26" s="17" t="s">
        <v>40</v>
      </c>
      <c r="C26" s="18">
        <v>53028.528700000003</v>
      </c>
      <c r="D26" s="16">
        <v>5.0000000000000001E-4</v>
      </c>
      <c r="E26" s="20">
        <f t="shared" si="0"/>
        <v>17260.014083018599</v>
      </c>
      <c r="F26" s="20">
        <f t="shared" si="1"/>
        <v>17260</v>
      </c>
      <c r="G26" s="20">
        <f t="shared" si="2"/>
        <v>8.7019999991753139E-3</v>
      </c>
      <c r="J26" s="20">
        <f>+G26</f>
        <v>8.7019999991753139E-3</v>
      </c>
      <c r="O26" s="20">
        <f t="shared" ca="1" si="3"/>
        <v>7.9007506105710917E-3</v>
      </c>
      <c r="Q26" s="21">
        <f t="shared" si="4"/>
        <v>38010.028700000003</v>
      </c>
    </row>
    <row r="27" spans="1:30" ht="12.95" customHeight="1">
      <c r="C27" s="23"/>
      <c r="D27" s="23"/>
    </row>
    <row r="28" spans="1:30" ht="12.95" customHeight="1">
      <c r="C28" s="23"/>
      <c r="D28" s="23"/>
    </row>
    <row r="29" spans="1:30" ht="12.95" customHeight="1">
      <c r="C29" s="23"/>
      <c r="D29" s="23"/>
    </row>
    <row r="30" spans="1:30" ht="12.95" customHeight="1">
      <c r="D30" s="6"/>
    </row>
    <row r="31" spans="1:30" ht="12.95" customHeight="1">
      <c r="D31" s="6"/>
    </row>
    <row r="32" spans="1:30" ht="12.95" customHeight="1">
      <c r="D32" s="6"/>
    </row>
    <row r="33" spans="4:4" ht="12.95" customHeight="1">
      <c r="D33" s="6"/>
    </row>
    <row r="34" spans="4:4" ht="12.95" customHeight="1">
      <c r="D34" s="6"/>
    </row>
    <row r="35" spans="4:4" ht="12.95" customHeight="1">
      <c r="D35" s="6"/>
    </row>
    <row r="36" spans="4:4" ht="12.95" customHeight="1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5"/>
  <sheetViews>
    <sheetView workbookViewId="0">
      <selection activeCell="H36" sqref="H3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42</v>
      </c>
    </row>
    <row r="2" spans="1:4">
      <c r="A2" t="s">
        <v>27</v>
      </c>
      <c r="B2" s="19" t="s">
        <v>41</v>
      </c>
      <c r="C2" s="12" t="s">
        <v>37</v>
      </c>
    </row>
    <row r="3" spans="1:4" ht="13.5" thickBot="1"/>
    <row r="4" spans="1:4">
      <c r="A4" s="8" t="s">
        <v>0</v>
      </c>
      <c r="C4" s="3">
        <v>42363.44</v>
      </c>
      <c r="D4" s="4">
        <v>0.61790730000000005</v>
      </c>
    </row>
    <row r="6" spans="1:4">
      <c r="A6" s="8" t="s">
        <v>1</v>
      </c>
    </row>
    <row r="7" spans="1:4">
      <c r="A7" t="s">
        <v>2</v>
      </c>
      <c r="C7">
        <f>+C4</f>
        <v>42363.44</v>
      </c>
    </row>
    <row r="8" spans="1:4">
      <c r="A8" t="s">
        <v>3</v>
      </c>
      <c r="C8">
        <f>+D4</f>
        <v>0.61790730000000005</v>
      </c>
    </row>
    <row r="10" spans="1:4" ht="13.5" thickBot="1">
      <c r="C10" s="7" t="s">
        <v>22</v>
      </c>
      <c r="D10" s="7" t="s">
        <v>23</v>
      </c>
    </row>
    <row r="11" spans="1:4">
      <c r="A11" t="s">
        <v>16</v>
      </c>
      <c r="C11">
        <f>INTERCEPT(G21:G992,$F21:$F992)</f>
        <v>-4.0605622461813755E-2</v>
      </c>
      <c r="D11" s="6"/>
    </row>
    <row r="12" spans="1:4">
      <c r="A12" t="s">
        <v>17</v>
      </c>
      <c r="C12">
        <f>SLOPE(G21:G992,$F21:$F992)</f>
        <v>2.8103344769632007E-6</v>
      </c>
      <c r="D12" s="6"/>
    </row>
    <row r="13" spans="1:4">
      <c r="A13" t="s">
        <v>21</v>
      </c>
      <c r="C13" s="6" t="s">
        <v>14</v>
      </c>
      <c r="D13" s="6"/>
    </row>
    <row r="14" spans="1:4">
      <c r="A14" t="s">
        <v>26</v>
      </c>
    </row>
    <row r="15" spans="1:4">
      <c r="A15" s="5" t="s">
        <v>18</v>
      </c>
      <c r="C15" s="13">
        <f>(C7+C11)+(C8+C12)*INT(MAX(F21:F3533))</f>
        <v>53028.527898750617</v>
      </c>
    </row>
    <row r="16" spans="1:4">
      <c r="A16" s="8" t="s">
        <v>4</v>
      </c>
      <c r="C16" s="14">
        <f>+C8+C12</f>
        <v>0.61791011033447696</v>
      </c>
    </row>
    <row r="17" spans="1:30" ht="13.5" thickBot="1">
      <c r="A17" s="15" t="s">
        <v>38</v>
      </c>
      <c r="C17">
        <f>COUNT(C21:C2191)</f>
        <v>6</v>
      </c>
    </row>
    <row r="18" spans="1:30">
      <c r="A18" s="8" t="s">
        <v>5</v>
      </c>
      <c r="C18" s="3">
        <f>+C15</f>
        <v>53028.527898750617</v>
      </c>
      <c r="D18" s="4">
        <f>+C16</f>
        <v>0.61791011033447696</v>
      </c>
    </row>
    <row r="19" spans="1:30" ht="13.5" thickTop="1"/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36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30">
      <c r="A21" t="s">
        <v>32</v>
      </c>
      <c r="C21" s="11">
        <v>41933.631000000001</v>
      </c>
      <c r="D21" s="6"/>
      <c r="E21">
        <f t="shared" ref="E21:E26" si="0">+(C21-C$7)/C$8</f>
        <v>-695.58815699377737</v>
      </c>
      <c r="F21">
        <f t="shared" ref="F21:F26" si="1">ROUND(2*E21,0)/2</f>
        <v>-695.5</v>
      </c>
      <c r="G21">
        <f t="shared" ref="G21:G26" si="2">+C21-(C$7+F21*C$8)</f>
        <v>-5.4472850002639461E-2</v>
      </c>
      <c r="I21">
        <f>+G21</f>
        <v>-5.4472850002639461E-2</v>
      </c>
      <c r="O21">
        <f t="shared" ref="O21:O26" si="3">+C$11+C$12*$F21</f>
        <v>-4.2560210090541659E-2</v>
      </c>
      <c r="Q21" s="2">
        <f t="shared" ref="Q21:Q26" si="4">+C21-15018.5</f>
        <v>26915.131000000001</v>
      </c>
      <c r="AA21">
        <v>5</v>
      </c>
      <c r="AB21" t="s">
        <v>31</v>
      </c>
      <c r="AD21" t="s">
        <v>33</v>
      </c>
    </row>
    <row r="22" spans="1:30">
      <c r="A22" t="s">
        <v>12</v>
      </c>
      <c r="C22">
        <v>42363.44</v>
      </c>
      <c r="D22" s="6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si="3"/>
        <v>-4.0605622461813755E-2</v>
      </c>
      <c r="Q22" s="2">
        <f t="shared" si="4"/>
        <v>27344.940000000002</v>
      </c>
    </row>
    <row r="23" spans="1:30">
      <c r="A23" t="s">
        <v>34</v>
      </c>
      <c r="C23" s="11">
        <v>42669.597999999998</v>
      </c>
      <c r="D23" s="6"/>
      <c r="E23">
        <f t="shared" si="0"/>
        <v>495.47561584075117</v>
      </c>
      <c r="F23">
        <f t="shared" si="1"/>
        <v>495.5</v>
      </c>
      <c r="G23">
        <f t="shared" si="2"/>
        <v>-1.506715000141412E-2</v>
      </c>
      <c r="I23">
        <f>+G23</f>
        <v>-1.506715000141412E-2</v>
      </c>
      <c r="O23">
        <f t="shared" si="3"/>
        <v>-3.9213101728478486E-2</v>
      </c>
      <c r="Q23" s="2">
        <f t="shared" si="4"/>
        <v>27651.097999999998</v>
      </c>
      <c r="AA23">
        <v>5</v>
      </c>
      <c r="AB23" t="s">
        <v>31</v>
      </c>
      <c r="AD23" t="s">
        <v>33</v>
      </c>
    </row>
    <row r="24" spans="1:30">
      <c r="A24" t="s">
        <v>35</v>
      </c>
      <c r="C24" s="11">
        <v>42716.517999999996</v>
      </c>
      <c r="D24" s="6"/>
      <c r="E24">
        <f t="shared" si="0"/>
        <v>571.40933599585901</v>
      </c>
      <c r="F24">
        <f t="shared" si="1"/>
        <v>571.5</v>
      </c>
      <c r="G24">
        <f t="shared" si="2"/>
        <v>-5.6021950003923848E-2</v>
      </c>
      <c r="I24">
        <f>+G24</f>
        <v>-5.6021950003923848E-2</v>
      </c>
      <c r="O24">
        <f t="shared" si="3"/>
        <v>-3.8999516308229287E-2</v>
      </c>
      <c r="Q24" s="2">
        <f t="shared" si="4"/>
        <v>27698.017999999996</v>
      </c>
      <c r="AA24">
        <v>4</v>
      </c>
      <c r="AB24" t="s">
        <v>31</v>
      </c>
      <c r="AD24" t="s">
        <v>33</v>
      </c>
    </row>
    <row r="25" spans="1:30">
      <c r="A25" t="s">
        <v>34</v>
      </c>
      <c r="C25" s="11">
        <v>42774.273000000001</v>
      </c>
      <c r="D25" s="6"/>
      <c r="E25">
        <f t="shared" si="0"/>
        <v>664.87804885943035</v>
      </c>
      <c r="F25">
        <f t="shared" si="1"/>
        <v>665</v>
      </c>
      <c r="G25">
        <f t="shared" si="2"/>
        <v>-7.5354500004323199E-2</v>
      </c>
      <c r="I25">
        <f>+G25</f>
        <v>-7.5354500004323199E-2</v>
      </c>
      <c r="O25">
        <f t="shared" si="3"/>
        <v>-3.8736750034633227E-2</v>
      </c>
      <c r="Q25" s="2">
        <f t="shared" si="4"/>
        <v>27755.773000000001</v>
      </c>
      <c r="AA25">
        <v>5</v>
      </c>
      <c r="AB25" t="s">
        <v>31</v>
      </c>
      <c r="AD25" t="s">
        <v>33</v>
      </c>
    </row>
    <row r="26" spans="1:30">
      <c r="A26" s="16" t="s">
        <v>39</v>
      </c>
      <c r="B26" s="17" t="s">
        <v>40</v>
      </c>
      <c r="C26" s="18">
        <v>53028.528700000003</v>
      </c>
      <c r="D26" s="16">
        <v>5.0000000000000001E-4</v>
      </c>
      <c r="E26">
        <f t="shared" si="0"/>
        <v>17260.014083018599</v>
      </c>
      <c r="F26">
        <f t="shared" si="1"/>
        <v>17260</v>
      </c>
      <c r="G26">
        <f t="shared" si="2"/>
        <v>8.7019999991753139E-3</v>
      </c>
      <c r="I26">
        <f>+G26</f>
        <v>8.7019999991753139E-3</v>
      </c>
      <c r="O26">
        <f t="shared" si="3"/>
        <v>7.9007506105710917E-3</v>
      </c>
      <c r="Q26" s="2">
        <f t="shared" si="4"/>
        <v>38010.028700000003</v>
      </c>
    </row>
    <row r="27" spans="1:30">
      <c r="D27" s="6"/>
    </row>
    <row r="28" spans="1:30">
      <c r="D28" s="6"/>
    </row>
    <row r="29" spans="1:30">
      <c r="D29" s="6"/>
    </row>
    <row r="30" spans="1:30">
      <c r="D30" s="6"/>
    </row>
    <row r="31" spans="1:30">
      <c r="D31" s="6"/>
    </row>
    <row r="32" spans="1:30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2024-08-15T05:41:27Z</dcterms:modified>
</cp:coreProperties>
</file>