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1227B63-28F7-4810-95FD-4EE0850005A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Q30" i="2" l="1"/>
  <c r="D9" i="2"/>
  <c r="C9" i="2"/>
  <c r="C21" i="2"/>
  <c r="Q26" i="2"/>
  <c r="G17" i="3"/>
  <c r="C17" i="3"/>
  <c r="G16" i="3"/>
  <c r="C16" i="3"/>
  <c r="G15" i="3"/>
  <c r="C15" i="3"/>
  <c r="G18" i="3"/>
  <c r="C18" i="3"/>
  <c r="E18" i="3"/>
  <c r="G14" i="3"/>
  <c r="C14" i="3"/>
  <c r="G13" i="3"/>
  <c r="C13" i="3"/>
  <c r="G12" i="3"/>
  <c r="C12" i="3"/>
  <c r="G11" i="3"/>
  <c r="C11" i="3"/>
  <c r="H17" i="3"/>
  <c r="B17" i="3"/>
  <c r="D17" i="3"/>
  <c r="A17" i="3"/>
  <c r="H16" i="3"/>
  <c r="D16" i="3"/>
  <c r="B16" i="3"/>
  <c r="A16" i="3"/>
  <c r="H15" i="3"/>
  <c r="B15" i="3"/>
  <c r="D15" i="3"/>
  <c r="A15" i="3"/>
  <c r="H18" i="3"/>
  <c r="D18" i="3"/>
  <c r="B18" i="3"/>
  <c r="A18" i="3"/>
  <c r="H14" i="3"/>
  <c r="B14" i="3"/>
  <c r="D14" i="3"/>
  <c r="A14" i="3"/>
  <c r="H13" i="3"/>
  <c r="D13" i="3"/>
  <c r="B13" i="3"/>
  <c r="A13" i="3"/>
  <c r="H12" i="3"/>
  <c r="B12" i="3"/>
  <c r="D12" i="3"/>
  <c r="A12" i="3"/>
  <c r="H11" i="3"/>
  <c r="D11" i="3"/>
  <c r="B11" i="3"/>
  <c r="A11" i="3"/>
  <c r="Q29" i="2"/>
  <c r="C7" i="2"/>
  <c r="E26" i="2"/>
  <c r="F26" i="2"/>
  <c r="F16" i="2"/>
  <c r="F17" i="2" s="1"/>
  <c r="C17" i="2"/>
  <c r="Q28" i="2"/>
  <c r="Q27" i="2"/>
  <c r="Q21" i="2"/>
  <c r="Q22" i="2"/>
  <c r="Q23" i="2"/>
  <c r="Q24" i="2"/>
  <c r="Q25" i="2"/>
  <c r="E24" i="1"/>
  <c r="F24" i="1"/>
  <c r="Q22" i="1"/>
  <c r="Q23" i="1"/>
  <c r="Q24" i="1"/>
  <c r="Q25" i="1"/>
  <c r="C21" i="1"/>
  <c r="C7" i="1"/>
  <c r="E22" i="1"/>
  <c r="F22" i="1"/>
  <c r="C8" i="1"/>
  <c r="E21" i="1"/>
  <c r="F21" i="1"/>
  <c r="Q21" i="1"/>
  <c r="E16" i="3"/>
  <c r="E17" i="3"/>
  <c r="E14" i="3"/>
  <c r="G28" i="2"/>
  <c r="J28" i="2"/>
  <c r="E25" i="2"/>
  <c r="F25" i="2"/>
  <c r="E23" i="1"/>
  <c r="F23" i="1"/>
  <c r="G23" i="1"/>
  <c r="I23" i="1"/>
  <c r="E22" i="2"/>
  <c r="F22" i="2"/>
  <c r="E28" i="2"/>
  <c r="F28" i="2"/>
  <c r="E25" i="1"/>
  <c r="F25" i="1"/>
  <c r="G25" i="1"/>
  <c r="I25" i="1"/>
  <c r="G22" i="1"/>
  <c r="I22" i="1"/>
  <c r="E21" i="2"/>
  <c r="F21" i="2"/>
  <c r="E24" i="2"/>
  <c r="F24" i="2"/>
  <c r="G24" i="2"/>
  <c r="K24" i="2"/>
  <c r="G23" i="2"/>
  <c r="K23" i="2"/>
  <c r="G24" i="1"/>
  <c r="I24" i="1"/>
  <c r="G29" i="2"/>
  <c r="J29" i="2"/>
  <c r="E27" i="2"/>
  <c r="F27" i="2"/>
  <c r="G27" i="2"/>
  <c r="J27" i="2"/>
  <c r="G26" i="2"/>
  <c r="I26" i="2"/>
  <c r="G25" i="2"/>
  <c r="K25" i="2"/>
  <c r="E23" i="2"/>
  <c r="F23" i="2"/>
  <c r="E30" i="2"/>
  <c r="F30" i="2"/>
  <c r="G30" i="2"/>
  <c r="K30" i="2"/>
  <c r="E29" i="2"/>
  <c r="F29" i="2"/>
  <c r="G22" i="2"/>
  <c r="K22" i="2"/>
  <c r="C11" i="1"/>
  <c r="E15" i="3"/>
  <c r="C12" i="1"/>
  <c r="C16" i="1"/>
  <c r="D18" i="1"/>
  <c r="E13" i="3"/>
  <c r="E11" i="3"/>
  <c r="E12" i="3"/>
  <c r="O25" i="1"/>
  <c r="O22" i="1"/>
  <c r="C15" i="1"/>
  <c r="C18" i="1"/>
  <c r="O24" i="1"/>
  <c r="O23" i="1"/>
  <c r="O21" i="1"/>
  <c r="C11" i="2"/>
  <c r="C12" i="2"/>
  <c r="C16" i="2" l="1"/>
  <c r="D18" i="2" s="1"/>
  <c r="O28" i="2"/>
  <c r="O22" i="2"/>
  <c r="O21" i="2"/>
  <c r="O25" i="2"/>
  <c r="C15" i="2"/>
  <c r="F18" i="2" s="1"/>
  <c r="O29" i="2"/>
  <c r="O27" i="2"/>
  <c r="O23" i="2"/>
  <c r="O24" i="2"/>
  <c r="O30" i="2"/>
  <c r="O26" i="2"/>
  <c r="C18" i="2" l="1"/>
  <c r="F19" i="2"/>
</calcChain>
</file>

<file path=xl/sharedStrings.xml><?xml version="1.0" encoding="utf-8"?>
<sst xmlns="http://schemas.openxmlformats.org/spreadsheetml/2006/main" count="175" uniqueCount="104">
  <si>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</si>
  <si>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</si>
  <si>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</si>
  <si>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</si>
  <si>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</si>
  <si>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</si>
  <si>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</si>
  <si>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</si>
  <si>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</si>
  <si>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</si>
  <si>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</si>
  <si>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</si>
  <si>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</si>
  <si>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</si>
  <si>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</si>
  <si>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</si>
  <si>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</si>
  <si>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</si>
  <si>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</si>
  <si>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</si>
  <si>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</si>
  <si>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</si>
  <si>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</si>
  <si>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</si>
  <si>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</si>
  <si>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</si>
  <si>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</si>
  <si>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</si>
  <si>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</si>
  <si>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</si>
  <si>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Misc</t>
  </si>
  <si>
    <t>GM Gem</t>
  </si>
  <si>
    <t>IBVS 4888</t>
  </si>
  <si>
    <t>IBVS 5263</t>
  </si>
  <si>
    <t>I</t>
  </si>
  <si>
    <t>IBVS</t>
  </si>
  <si>
    <t>EA</t>
  </si>
  <si>
    <t># of data points:</t>
  </si>
  <si>
    <t>GM Gem / GSC 00753-02029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</si>
  <si>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</si>
  <si>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</si>
  <si>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</si>
  <si>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</si>
  <si>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</si>
  <si>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</si>
  <si>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</si>
  <si>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5802</t>
  </si>
  <si>
    <t>Add cycle</t>
  </si>
  <si>
    <t>Old Cycle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</si>
  <si>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</si>
  <si>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</si>
  <si>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</si>
  <si>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</si>
  <si>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</si>
  <si>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</si>
  <si>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</si>
  <si>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</si>
  <si>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</si>
  <si>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</si>
  <si>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</si>
  <si>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</si>
  <si>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2450841.2817 </t>
  </si>
  <si>
    <t> 27.01.1998 18:45 </t>
  </si>
  <si>
    <t> -0.0061 </t>
  </si>
  <si>
    <t>E </t>
  </si>
  <si>
    <t>?</t>
  </si>
  <si>
    <t> J.Safar </t>
  </si>
  <si>
    <t>IBVS 4888 </t>
  </si>
  <si>
    <t>2450864.3955 </t>
  </si>
  <si>
    <t> 19.02.1998 21:29 </t>
  </si>
  <si>
    <t> -0.0067 </t>
  </si>
  <si>
    <t>2451129.5252 </t>
  </si>
  <si>
    <t> 12.11.1998 00:36 </t>
  </si>
  <si>
    <t> -0.0127 </t>
  </si>
  <si>
    <t>2451193.4292 </t>
  </si>
  <si>
    <t> 14.01.1999 22:18 </t>
  </si>
  <si>
    <t> -0.0132 </t>
  </si>
  <si>
    <t> M.Zejda </t>
  </si>
  <si>
    <t>IBVS 5263 </t>
  </si>
  <si>
    <t>2451654.364 </t>
  </si>
  <si>
    <t> 19.04.2000 20:44 </t>
  </si>
  <si>
    <t> -0.006 </t>
  </si>
  <si>
    <t> R.Diethelm </t>
  </si>
  <si>
    <t> BBS 122 </t>
  </si>
  <si>
    <t>2453408.3347 </t>
  </si>
  <si>
    <t> 06.02.2005 20:01 </t>
  </si>
  <si>
    <t> -0.0101 </t>
  </si>
  <si>
    <t>C </t>
  </si>
  <si>
    <t>o</t>
  </si>
  <si>
    <t> Moschner &amp; Frank </t>
  </si>
  <si>
    <t>BAVM 178 </t>
  </si>
  <si>
    <t>2454149.3615 </t>
  </si>
  <si>
    <t> 17.02.2007 20:40 </t>
  </si>
  <si>
    <t> -0.0034 </t>
  </si>
  <si>
    <t>-I</t>
  </si>
  <si>
    <t> F.Agerer </t>
  </si>
  <si>
    <t>BAVM 186 </t>
  </si>
  <si>
    <t>2456693.2993 </t>
  </si>
  <si>
    <t> 04.02.2014 19:10 </t>
  </si>
  <si>
    <t>19356</t>
  </si>
  <si>
    <t> -0.0082 </t>
  </si>
  <si>
    <t> W.Moschner &amp; P.Frank </t>
  </si>
  <si>
    <t>BAVM 239 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</si>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</sst>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9" fillId="0" borderId="0"/>
    <xf numFmtId="0" fontId="9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11" xfId="0" applyFont="1" applyBorder="1" applyAlignment="1"/>
    <xf numFmtId="0" fontId="8" fillId="0" borderId="12" xfId="0" applyFont="1" applyBorder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9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4" borderId="19" xfId="0" applyFont="1" applyFill="1" applyBorder="1" applyAlignment="1">
      <alignment horizontal="left" vertical="top" wrapText="1" inden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right" vertical="top" wrapText="1"/>
    </xf>
    <xf numFmtId="0" fontId="18" fillId="24" borderId="19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>
      <alignment vertical="top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left"/>
    </xf>
    <xf numFmtId="0" fontId="20" fillId="0" borderId="0" xfId="0" applyFont="1" applyAlignment="1"/>
    <xf numFmtId="0" fontId="21" fillId="0" borderId="0" xfId="0" applyFont="1" applyAlignment="1">
      <alignment horizontal="left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center"/>
    </xf>
    <xf numFmtId="0" fontId="16" fillId="0" borderId="0" xfId="42" applyFont="1"/>
    <xf numFmtId="0" fontId="16" fillId="0" borderId="0" xfId="42" applyFont="1" applyAlignment="1">
      <alignment horizontal="center"/>
    </xf>
    <xf numFmtId="0" fontId="16" fillId="0" borderId="0" xfId="42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GM Gem - O-C Diagr.</a:t>
            </a:r>
          </a:p>
        </c:rich>
      </c:tx>
      <c:layout>
        <c:manualLayout>
          <c:xMode val="edge"/>
          <c:yMode val="edge"/>
          <c:x val="0.3840585796340674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18858014688087"/>
          <c:y val="0.14634168126798494"/>
          <c:w val="0.83188523534481906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15052</c:v>
                </c:pt>
                <c:pt idx="2">
                  <c:v>15069</c:v>
                </c:pt>
                <c:pt idx="3">
                  <c:v>15264</c:v>
                </c:pt>
                <c:pt idx="4">
                  <c:v>15311</c:v>
                </c:pt>
                <c:pt idx="5">
                  <c:v>15650</c:v>
                </c:pt>
                <c:pt idx="6">
                  <c:v>16940</c:v>
                </c:pt>
                <c:pt idx="7">
                  <c:v>17485</c:v>
                </c:pt>
                <c:pt idx="8">
                  <c:v>19356</c:v>
                </c:pt>
                <c:pt idx="9">
                  <c:v>19554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E0-41D7-9439-10268868CF6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Active!$D$21:$D$1182</c:f>
                <c:numCache>
                  <c:formatCode>General</c:formatCode>
                  <c:ptCount val="1162"/>
                  <c:pt idx="0">
                    <c:v>0</c:v>
                  </c:pt>
                  <c:pt idx="1">
                    <c:v>2.8E-3</c:v>
                  </c:pt>
                  <c:pt idx="2">
                    <c:v>2.0999999999999999E-3</c:v>
                  </c:pt>
                  <c:pt idx="3">
                    <c:v>1.6000000000000001E-3</c:v>
                  </c:pt>
                  <c:pt idx="4">
                    <c:v>6.4999999999999997E-3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Active!$D$21:$D$1182</c:f>
                <c:numCache>
                  <c:formatCode>General</c:formatCode>
                  <c:ptCount val="1162"/>
                  <c:pt idx="0">
                    <c:v>0</c:v>
                  </c:pt>
                  <c:pt idx="1">
                    <c:v>2.8E-3</c:v>
                  </c:pt>
                  <c:pt idx="2">
                    <c:v>2.0999999999999999E-3</c:v>
                  </c:pt>
                  <c:pt idx="3">
                    <c:v>1.6000000000000001E-3</c:v>
                  </c:pt>
                  <c:pt idx="4">
                    <c:v>6.4999999999999997E-3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15052</c:v>
                </c:pt>
                <c:pt idx="2">
                  <c:v>15069</c:v>
                </c:pt>
                <c:pt idx="3">
                  <c:v>15264</c:v>
                </c:pt>
                <c:pt idx="4">
                  <c:v>15311</c:v>
                </c:pt>
                <c:pt idx="5">
                  <c:v>15650</c:v>
                </c:pt>
                <c:pt idx="6">
                  <c:v>16940</c:v>
                </c:pt>
                <c:pt idx="7">
                  <c:v>17485</c:v>
                </c:pt>
                <c:pt idx="8">
                  <c:v>19356</c:v>
                </c:pt>
                <c:pt idx="9">
                  <c:v>19554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5">
                  <c:v>0.4352511846809648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E0-41D7-9439-10268868CF6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2.8E-3</c:v>
                  </c:pt>
                  <c:pt idx="2">
                    <c:v>2.0999999999999999E-3</c:v>
                  </c:pt>
                  <c:pt idx="3">
                    <c:v>1.6000000000000001E-3</c:v>
                  </c:pt>
                  <c:pt idx="4">
                    <c:v>6.4999999999999997E-3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2.8E-3</c:v>
                  </c:pt>
                  <c:pt idx="2">
                    <c:v>2.0999999999999999E-3</c:v>
                  </c:pt>
                  <c:pt idx="3">
                    <c:v>1.6000000000000001E-3</c:v>
                  </c:pt>
                  <c:pt idx="4">
                    <c:v>6.4999999999999997E-3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15052</c:v>
                </c:pt>
                <c:pt idx="2">
                  <c:v>15069</c:v>
                </c:pt>
                <c:pt idx="3">
                  <c:v>15264</c:v>
                </c:pt>
                <c:pt idx="4">
                  <c:v>15311</c:v>
                </c:pt>
                <c:pt idx="5">
                  <c:v>15650</c:v>
                </c:pt>
                <c:pt idx="6">
                  <c:v>16940</c:v>
                </c:pt>
                <c:pt idx="7">
                  <c:v>17485</c:v>
                </c:pt>
                <c:pt idx="8">
                  <c:v>19356</c:v>
                </c:pt>
                <c:pt idx="9">
                  <c:v>19554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6">
                  <c:v>0.4680639021389652</c:v>
                </c:pt>
                <c:pt idx="7">
                  <c:v>0.49009756959276274</c:v>
                </c:pt>
                <c:pt idx="8">
                  <c:v>0.53814012336079031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E0-41D7-9439-10268868CF6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15052</c:v>
                </c:pt>
                <c:pt idx="2">
                  <c:v>15069</c:v>
                </c:pt>
                <c:pt idx="3">
                  <c:v>15264</c:v>
                </c:pt>
                <c:pt idx="4">
                  <c:v>15311</c:v>
                </c:pt>
                <c:pt idx="5">
                  <c:v>15650</c:v>
                </c:pt>
                <c:pt idx="6">
                  <c:v>16940</c:v>
                </c:pt>
                <c:pt idx="7">
                  <c:v>17485</c:v>
                </c:pt>
                <c:pt idx="8">
                  <c:v>19356</c:v>
                </c:pt>
                <c:pt idx="9">
                  <c:v>19554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">
                  <c:v>0.41873149084858596</c:v>
                </c:pt>
                <c:pt idx="2">
                  <c:v>0.41862134836264886</c:v>
                </c:pt>
                <c:pt idx="3">
                  <c:v>0.41817559635092039</c:v>
                </c:pt>
                <c:pt idx="4">
                  <c:v>0.41901226124900859</c:v>
                </c:pt>
                <c:pt idx="9">
                  <c:v>0.54173905208881479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E0-41D7-9439-10268868CF6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15052</c:v>
                </c:pt>
                <c:pt idx="2">
                  <c:v>15069</c:v>
                </c:pt>
                <c:pt idx="3">
                  <c:v>15264</c:v>
                </c:pt>
                <c:pt idx="4">
                  <c:v>15311</c:v>
                </c:pt>
                <c:pt idx="5">
                  <c:v>15650</c:v>
                </c:pt>
                <c:pt idx="6">
                  <c:v>16940</c:v>
                </c:pt>
                <c:pt idx="7">
                  <c:v>17485</c:v>
                </c:pt>
                <c:pt idx="8">
                  <c:v>19356</c:v>
                </c:pt>
                <c:pt idx="9">
                  <c:v>19554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E0-41D7-9439-10268868CF6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15052</c:v>
                </c:pt>
                <c:pt idx="2">
                  <c:v>15069</c:v>
                </c:pt>
                <c:pt idx="3">
                  <c:v>15264</c:v>
                </c:pt>
                <c:pt idx="4">
                  <c:v>15311</c:v>
                </c:pt>
                <c:pt idx="5">
                  <c:v>15650</c:v>
                </c:pt>
                <c:pt idx="6">
                  <c:v>16940</c:v>
                </c:pt>
                <c:pt idx="7">
                  <c:v>17485</c:v>
                </c:pt>
                <c:pt idx="8">
                  <c:v>19356</c:v>
                </c:pt>
                <c:pt idx="9">
                  <c:v>19554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E0-41D7-9439-10268868CF6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15052</c:v>
                </c:pt>
                <c:pt idx="2">
                  <c:v>15069</c:v>
                </c:pt>
                <c:pt idx="3">
                  <c:v>15264</c:v>
                </c:pt>
                <c:pt idx="4">
                  <c:v>15311</c:v>
                </c:pt>
                <c:pt idx="5">
                  <c:v>15650</c:v>
                </c:pt>
                <c:pt idx="6">
                  <c:v>16940</c:v>
                </c:pt>
                <c:pt idx="7">
                  <c:v>17485</c:v>
                </c:pt>
                <c:pt idx="8">
                  <c:v>19356</c:v>
                </c:pt>
                <c:pt idx="9">
                  <c:v>19554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E0-41D7-9439-10268868CF6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15052</c:v>
                </c:pt>
                <c:pt idx="2">
                  <c:v>15069</c:v>
                </c:pt>
                <c:pt idx="3">
                  <c:v>15264</c:v>
                </c:pt>
                <c:pt idx="4">
                  <c:v>15311</c:v>
                </c:pt>
                <c:pt idx="5">
                  <c:v>15650</c:v>
                </c:pt>
                <c:pt idx="6">
                  <c:v>16940</c:v>
                </c:pt>
                <c:pt idx="7">
                  <c:v>17485</c:v>
                </c:pt>
                <c:pt idx="8">
                  <c:v>19356</c:v>
                </c:pt>
                <c:pt idx="9">
                  <c:v>19554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-1.0480126704421611E-2</c:v>
                </c:pt>
                <c:pt idx="1">
                  <c:v>0.4161130750111437</c:v>
                </c:pt>
                <c:pt idx="2">
                  <c:v>0.41659487705932097</c:v>
                </c:pt>
                <c:pt idx="3">
                  <c:v>0.42212142996488405</c:v>
                </c:pt>
                <c:pt idx="4">
                  <c:v>0.42345347092160951</c:v>
                </c:pt>
                <c:pt idx="5">
                  <c:v>0.43306117058820376</c:v>
                </c:pt>
                <c:pt idx="6">
                  <c:v>0.4696214436557748</c:v>
                </c:pt>
                <c:pt idx="7">
                  <c:v>0.48506745049439975</c:v>
                </c:pt>
                <c:pt idx="8">
                  <c:v>0.53809401709085347</c:v>
                </c:pt>
                <c:pt idx="9">
                  <c:v>0.54370559388727147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E0-41D7-9439-10268868C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6988304"/>
        <c:axId val="1"/>
      </c:scatterChart>
      <c:valAx>
        <c:axId val="746988304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73989120925102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26086956521741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6988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478291300543952"/>
          <c:y val="0.92073298764483702"/>
          <c:w val="0.60579801437863745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GM Gem - O-C Diagr.</a:t>
            </a:r>
          </a:p>
        </c:rich>
      </c:tx>
      <c:layout>
        <c:manualLayout>
          <c:xMode val="edge"/>
          <c:yMode val="edge"/>
          <c:x val="0.38494965263929559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11585911768717"/>
          <c:y val="0.1458966565349544"/>
          <c:w val="0.83502229772175296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15052</c:v>
                </c:pt>
                <c:pt idx="2">
                  <c:v>15069</c:v>
                </c:pt>
                <c:pt idx="3">
                  <c:v>15264</c:v>
                </c:pt>
                <c:pt idx="4">
                  <c:v>15311</c:v>
                </c:pt>
                <c:pt idx="5">
                  <c:v>15650</c:v>
                </c:pt>
                <c:pt idx="6">
                  <c:v>16940</c:v>
                </c:pt>
                <c:pt idx="7">
                  <c:v>17485</c:v>
                </c:pt>
                <c:pt idx="8">
                  <c:v>19356</c:v>
                </c:pt>
                <c:pt idx="9">
                  <c:v>19554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84-496E-94F6-DFF3A754F31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Active!$D$21:$D$1182</c:f>
                <c:numCache>
                  <c:formatCode>General</c:formatCode>
                  <c:ptCount val="1162"/>
                  <c:pt idx="0">
                    <c:v>0</c:v>
                  </c:pt>
                  <c:pt idx="1">
                    <c:v>2.8E-3</c:v>
                  </c:pt>
                  <c:pt idx="2">
                    <c:v>2.0999999999999999E-3</c:v>
                  </c:pt>
                  <c:pt idx="3">
                    <c:v>1.6000000000000001E-3</c:v>
                  </c:pt>
                  <c:pt idx="4">
                    <c:v>6.4999999999999997E-3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Active!$D$21:$D$1182</c:f>
                <c:numCache>
                  <c:formatCode>General</c:formatCode>
                  <c:ptCount val="1162"/>
                  <c:pt idx="0">
                    <c:v>0</c:v>
                  </c:pt>
                  <c:pt idx="1">
                    <c:v>2.8E-3</c:v>
                  </c:pt>
                  <c:pt idx="2">
                    <c:v>2.0999999999999999E-3</c:v>
                  </c:pt>
                  <c:pt idx="3">
                    <c:v>1.6000000000000001E-3</c:v>
                  </c:pt>
                  <c:pt idx="4">
                    <c:v>6.4999999999999997E-3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15052</c:v>
                </c:pt>
                <c:pt idx="2">
                  <c:v>15069</c:v>
                </c:pt>
                <c:pt idx="3">
                  <c:v>15264</c:v>
                </c:pt>
                <c:pt idx="4">
                  <c:v>15311</c:v>
                </c:pt>
                <c:pt idx="5">
                  <c:v>15650</c:v>
                </c:pt>
                <c:pt idx="6">
                  <c:v>16940</c:v>
                </c:pt>
                <c:pt idx="7">
                  <c:v>17485</c:v>
                </c:pt>
                <c:pt idx="8">
                  <c:v>19356</c:v>
                </c:pt>
                <c:pt idx="9">
                  <c:v>19554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5">
                  <c:v>0.4352511846809648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84-496E-94F6-DFF3A754F31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2.8E-3</c:v>
                  </c:pt>
                  <c:pt idx="2">
                    <c:v>2.0999999999999999E-3</c:v>
                  </c:pt>
                  <c:pt idx="3">
                    <c:v>1.6000000000000001E-3</c:v>
                  </c:pt>
                  <c:pt idx="4">
                    <c:v>6.4999999999999997E-3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2.8E-3</c:v>
                  </c:pt>
                  <c:pt idx="2">
                    <c:v>2.0999999999999999E-3</c:v>
                  </c:pt>
                  <c:pt idx="3">
                    <c:v>1.6000000000000001E-3</c:v>
                  </c:pt>
                  <c:pt idx="4">
                    <c:v>6.4999999999999997E-3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15052</c:v>
                </c:pt>
                <c:pt idx="2">
                  <c:v>15069</c:v>
                </c:pt>
                <c:pt idx="3">
                  <c:v>15264</c:v>
                </c:pt>
                <c:pt idx="4">
                  <c:v>15311</c:v>
                </c:pt>
                <c:pt idx="5">
                  <c:v>15650</c:v>
                </c:pt>
                <c:pt idx="6">
                  <c:v>16940</c:v>
                </c:pt>
                <c:pt idx="7">
                  <c:v>17485</c:v>
                </c:pt>
                <c:pt idx="8">
                  <c:v>19356</c:v>
                </c:pt>
                <c:pt idx="9">
                  <c:v>19554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6">
                  <c:v>0.4680639021389652</c:v>
                </c:pt>
                <c:pt idx="7">
                  <c:v>0.49009756959276274</c:v>
                </c:pt>
                <c:pt idx="8">
                  <c:v>0.53814012336079031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84-496E-94F6-DFF3A754F31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15052</c:v>
                </c:pt>
                <c:pt idx="2">
                  <c:v>15069</c:v>
                </c:pt>
                <c:pt idx="3">
                  <c:v>15264</c:v>
                </c:pt>
                <c:pt idx="4">
                  <c:v>15311</c:v>
                </c:pt>
                <c:pt idx="5">
                  <c:v>15650</c:v>
                </c:pt>
                <c:pt idx="6">
                  <c:v>16940</c:v>
                </c:pt>
                <c:pt idx="7">
                  <c:v>17485</c:v>
                </c:pt>
                <c:pt idx="8">
                  <c:v>19356</c:v>
                </c:pt>
                <c:pt idx="9">
                  <c:v>19554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">
                  <c:v>0.41873149084858596</c:v>
                </c:pt>
                <c:pt idx="2">
                  <c:v>0.41862134836264886</c:v>
                </c:pt>
                <c:pt idx="3">
                  <c:v>0.41817559635092039</c:v>
                </c:pt>
                <c:pt idx="4">
                  <c:v>0.41901226124900859</c:v>
                </c:pt>
                <c:pt idx="9">
                  <c:v>0.54173905208881479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E84-496E-94F6-DFF3A754F31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15052</c:v>
                </c:pt>
                <c:pt idx="2">
                  <c:v>15069</c:v>
                </c:pt>
                <c:pt idx="3">
                  <c:v>15264</c:v>
                </c:pt>
                <c:pt idx="4">
                  <c:v>15311</c:v>
                </c:pt>
                <c:pt idx="5">
                  <c:v>15650</c:v>
                </c:pt>
                <c:pt idx="6">
                  <c:v>16940</c:v>
                </c:pt>
                <c:pt idx="7">
                  <c:v>17485</c:v>
                </c:pt>
                <c:pt idx="8">
                  <c:v>19356</c:v>
                </c:pt>
                <c:pt idx="9">
                  <c:v>19554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E84-496E-94F6-DFF3A754F31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15052</c:v>
                </c:pt>
                <c:pt idx="2">
                  <c:v>15069</c:v>
                </c:pt>
                <c:pt idx="3">
                  <c:v>15264</c:v>
                </c:pt>
                <c:pt idx="4">
                  <c:v>15311</c:v>
                </c:pt>
                <c:pt idx="5">
                  <c:v>15650</c:v>
                </c:pt>
                <c:pt idx="6">
                  <c:v>16940</c:v>
                </c:pt>
                <c:pt idx="7">
                  <c:v>17485</c:v>
                </c:pt>
                <c:pt idx="8">
                  <c:v>19356</c:v>
                </c:pt>
                <c:pt idx="9">
                  <c:v>19554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E84-496E-94F6-DFF3A754F31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15052</c:v>
                </c:pt>
                <c:pt idx="2">
                  <c:v>15069</c:v>
                </c:pt>
                <c:pt idx="3">
                  <c:v>15264</c:v>
                </c:pt>
                <c:pt idx="4">
                  <c:v>15311</c:v>
                </c:pt>
                <c:pt idx="5">
                  <c:v>15650</c:v>
                </c:pt>
                <c:pt idx="6">
                  <c:v>16940</c:v>
                </c:pt>
                <c:pt idx="7">
                  <c:v>17485</c:v>
                </c:pt>
                <c:pt idx="8">
                  <c:v>19356</c:v>
                </c:pt>
                <c:pt idx="9">
                  <c:v>19554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E84-496E-94F6-DFF3A754F31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15052</c:v>
                </c:pt>
                <c:pt idx="2">
                  <c:v>15069</c:v>
                </c:pt>
                <c:pt idx="3">
                  <c:v>15264</c:v>
                </c:pt>
                <c:pt idx="4">
                  <c:v>15311</c:v>
                </c:pt>
                <c:pt idx="5">
                  <c:v>15650</c:v>
                </c:pt>
                <c:pt idx="6">
                  <c:v>16940</c:v>
                </c:pt>
                <c:pt idx="7">
                  <c:v>17485</c:v>
                </c:pt>
                <c:pt idx="8">
                  <c:v>19356</c:v>
                </c:pt>
                <c:pt idx="9">
                  <c:v>19554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-1.0480126704421611E-2</c:v>
                </c:pt>
                <c:pt idx="1">
                  <c:v>0.4161130750111437</c:v>
                </c:pt>
                <c:pt idx="2">
                  <c:v>0.41659487705932097</c:v>
                </c:pt>
                <c:pt idx="3">
                  <c:v>0.42212142996488405</c:v>
                </c:pt>
                <c:pt idx="4">
                  <c:v>0.42345347092160951</c:v>
                </c:pt>
                <c:pt idx="5">
                  <c:v>0.43306117058820376</c:v>
                </c:pt>
                <c:pt idx="6">
                  <c:v>0.4696214436557748</c:v>
                </c:pt>
                <c:pt idx="7">
                  <c:v>0.48506745049439975</c:v>
                </c:pt>
                <c:pt idx="8">
                  <c:v>0.53809401709085347</c:v>
                </c:pt>
                <c:pt idx="9">
                  <c:v>0.54370559388727147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E84-496E-94F6-DFF3A754F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775216"/>
        <c:axId val="1"/>
      </c:scatterChart>
      <c:valAx>
        <c:axId val="736775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372069084707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756874095513747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775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444298840358413"/>
          <c:y val="0.92097264437689974"/>
          <c:w val="0.6049208610139362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GM Gem - O-C Diagr.</a:t>
            </a:r>
          </a:p>
        </c:rich>
      </c:tx>
      <c:layout>
        <c:manualLayout>
          <c:xMode val="edge"/>
          <c:yMode val="edge"/>
          <c:x val="0.3840585796340674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98568980085173"/>
          <c:y val="0.14723926380368099"/>
          <c:w val="0.82608812569084822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15052</c:v>
                </c:pt>
                <c:pt idx="2">
                  <c:v>15069</c:v>
                </c:pt>
                <c:pt idx="3">
                  <c:v>15264</c:v>
                </c:pt>
                <c:pt idx="4">
                  <c:v>15311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66-49DF-9045-B17C08026042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(old)'!$D$21:$D$1185</c:f>
                <c:numCache>
                  <c:formatCode>General</c:formatCode>
                  <c:ptCount val="1165"/>
                  <c:pt idx="0">
                    <c:v>0</c:v>
                  </c:pt>
                  <c:pt idx="1">
                    <c:v>2.8E-3</c:v>
                  </c:pt>
                  <c:pt idx="2">
                    <c:v>2.0999999999999999E-3</c:v>
                  </c:pt>
                  <c:pt idx="3">
                    <c:v>1.6000000000000001E-3</c:v>
                  </c:pt>
                  <c:pt idx="4">
                    <c:v>6.4999999999999997E-3</c:v>
                  </c:pt>
                </c:numCache>
              </c:numRef>
            </c:plus>
            <c:minus>
              <c:numRef>
                <c:f>'A (old)'!$D$21:$D$1185</c:f>
                <c:numCache>
                  <c:formatCode>General</c:formatCode>
                  <c:ptCount val="1165"/>
                  <c:pt idx="0">
                    <c:v>0</c:v>
                  </c:pt>
                  <c:pt idx="1">
                    <c:v>2.8E-3</c:v>
                  </c:pt>
                  <c:pt idx="2">
                    <c:v>2.0999999999999999E-3</c:v>
                  </c:pt>
                  <c:pt idx="3">
                    <c:v>1.6000000000000001E-3</c:v>
                  </c:pt>
                  <c:pt idx="4">
                    <c:v>6.4999999999999997E-3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15052</c:v>
                </c:pt>
                <c:pt idx="2">
                  <c:v>15069</c:v>
                </c:pt>
                <c:pt idx="3">
                  <c:v>15264</c:v>
                </c:pt>
                <c:pt idx="4">
                  <c:v>15311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1">
                  <c:v>-6.1399999976856634E-3</c:v>
                </c:pt>
                <c:pt idx="2">
                  <c:v>-6.7300000009709038E-3</c:v>
                </c:pt>
                <c:pt idx="3">
                  <c:v>-1.268000000709435E-2</c:v>
                </c:pt>
                <c:pt idx="4">
                  <c:v>-1.3170000005629845E-2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66-49DF-9045-B17C08026042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2.8E-3</c:v>
                  </c:pt>
                  <c:pt idx="2">
                    <c:v>2.0999999999999999E-3</c:v>
                  </c:pt>
                  <c:pt idx="3">
                    <c:v>1.6000000000000001E-3</c:v>
                  </c:pt>
                  <c:pt idx="4">
                    <c:v>6.4999999999999997E-3</c:v>
                  </c:pt>
                </c:numCache>
              </c:numRef>
            </c:plus>
            <c:minus>
              <c:numRef>
                <c:f>'A (old)'!$D$21:$D$50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2.8E-3</c:v>
                  </c:pt>
                  <c:pt idx="2">
                    <c:v>2.0999999999999999E-3</c:v>
                  </c:pt>
                  <c:pt idx="3">
                    <c:v>1.6000000000000001E-3</c:v>
                  </c:pt>
                  <c:pt idx="4">
                    <c:v>6.4999999999999997E-3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15052</c:v>
                </c:pt>
                <c:pt idx="2">
                  <c:v>15069</c:v>
                </c:pt>
                <c:pt idx="3">
                  <c:v>15264</c:v>
                </c:pt>
                <c:pt idx="4">
                  <c:v>15311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66-49DF-9045-B17C08026042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15052</c:v>
                </c:pt>
                <c:pt idx="2">
                  <c:v>15069</c:v>
                </c:pt>
                <c:pt idx="3">
                  <c:v>15264</c:v>
                </c:pt>
                <c:pt idx="4">
                  <c:v>15311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66-49DF-9045-B17C08026042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15052</c:v>
                </c:pt>
                <c:pt idx="2">
                  <c:v>15069</c:v>
                </c:pt>
                <c:pt idx="3">
                  <c:v>15264</c:v>
                </c:pt>
                <c:pt idx="4">
                  <c:v>15311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66-49DF-9045-B17C08026042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15052</c:v>
                </c:pt>
                <c:pt idx="2">
                  <c:v>15069</c:v>
                </c:pt>
                <c:pt idx="3">
                  <c:v>15264</c:v>
                </c:pt>
                <c:pt idx="4">
                  <c:v>15311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66-49DF-9045-B17C08026042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15052</c:v>
                </c:pt>
                <c:pt idx="2">
                  <c:v>15069</c:v>
                </c:pt>
                <c:pt idx="3">
                  <c:v>15264</c:v>
                </c:pt>
                <c:pt idx="4">
                  <c:v>15311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66-49DF-9045-B17C08026042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15052</c:v>
                </c:pt>
                <c:pt idx="2">
                  <c:v>15069</c:v>
                </c:pt>
                <c:pt idx="3">
                  <c:v>15264</c:v>
                </c:pt>
                <c:pt idx="4">
                  <c:v>15311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0.41863517420097945</c:v>
                </c:pt>
                <c:pt idx="1">
                  <c:v>-6.2363166462571784E-3</c:v>
                </c:pt>
                <c:pt idx="2">
                  <c:v>-6.7161741631587835E-3</c:v>
                </c:pt>
                <c:pt idx="3">
                  <c:v>-1.2220422151147825E-2</c:v>
                </c:pt>
                <c:pt idx="4">
                  <c:v>-1.3547087050816975E-2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66-49DF-9045-B17C08026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602256"/>
        <c:axId val="1"/>
      </c:scatterChart>
      <c:valAx>
        <c:axId val="734602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63844193388876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2608695652174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602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1594233329529461"/>
          <c:y val="0.92024539877300615"/>
          <c:w val="0.86521860854349719"/>
          <c:h val="0.981595092024539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361950</xdr:colOff>
      <xdr:row>18</xdr:row>
      <xdr:rowOff>57150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14CB2AC2-72FA-D66C-B79A-01C3DF861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581025</xdr:colOff>
      <xdr:row>0</xdr:row>
      <xdr:rowOff>0</xdr:rowOff>
    </xdr:from>
    <xdr:to>
      <xdr:col>27</xdr:col>
      <xdr:colOff>304800</xdr:colOff>
      <xdr:row>18</xdr:row>
      <xdr:rowOff>66675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E36523B4-A182-D67D-B6B6-E3ADE81286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0</xdr:row>
      <xdr:rowOff>142875</xdr:rowOff>
    </xdr:from>
    <xdr:to>
      <xdr:col>16</xdr:col>
      <xdr:colOff>457200</xdr:colOff>
      <xdr:row>19</xdr:row>
      <xdr:rowOff>28575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AFCDE2C-01F3-616F-A8B6-8A3ADE3B2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4888" TargetMode="External"/><Relationship Id="rId7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konkoly.hu/cgi-bin/IBVS?4888" TargetMode="External"/><Relationship Id="rId1" Type="http://schemas.openxmlformats.org/officeDocument/2006/relationships/hyperlink" Target="http://www.konkoly.hu/cgi-bin/IBVS?4888" TargetMode="External"/><Relationship Id="rId6" Type="http://schemas.openxmlformats.org/officeDocument/2006/relationships/hyperlink" Target="http://www.bav-astro.de/sfs/BAVM_link.php?BAVMnr=186" TargetMode="External"/><Relationship Id="rId5" Type="http://schemas.openxmlformats.org/officeDocument/2006/relationships/hyperlink" Target="http://www.bav-astro.de/sfs/BAVM_link.php?BAVMnr=178" TargetMode="External"/><Relationship Id="rId4" Type="http://schemas.openxmlformats.org/officeDocument/2006/relationships/hyperlink" Target="http://www.konkoly.hu/cgi-bin/IBVS?52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38</v>
      </c>
    </row>
    <row r="2" spans="1:6">
      <c r="A2" t="s">
        <v>26</v>
      </c>
      <c r="B2" t="s">
        <v>36</v>
      </c>
    </row>
    <row r="3" spans="1:6" ht="13.5" thickBot="1"/>
    <row r="4" spans="1:6" ht="13.5" thickBot="1">
      <c r="A4" s="8" t="s">
        <v>0</v>
      </c>
      <c r="C4" s="11">
        <v>30375.535</v>
      </c>
      <c r="D4" s="12">
        <v>1.3596699999999999</v>
      </c>
    </row>
    <row r="5" spans="1:6">
      <c r="A5" s="22" t="s">
        <v>40</v>
      </c>
      <c r="B5" s="20"/>
      <c r="C5" s="23">
        <v>-9.5</v>
      </c>
      <c r="D5" s="20" t="s">
        <v>41</v>
      </c>
    </row>
    <row r="6" spans="1:6">
      <c r="A6" s="8" t="s">
        <v>1</v>
      </c>
    </row>
    <row r="7" spans="1:6">
      <c r="A7" t="s">
        <v>2</v>
      </c>
      <c r="C7">
        <f>+C4</f>
        <v>30375.535</v>
      </c>
    </row>
    <row r="8" spans="1:6">
      <c r="A8" t="s">
        <v>3</v>
      </c>
      <c r="C8">
        <v>1.359641773087241</v>
      </c>
    </row>
    <row r="9" spans="1:6">
      <c r="A9" s="35" t="s">
        <v>45</v>
      </c>
      <c r="B9" s="36">
        <v>21</v>
      </c>
      <c r="C9" s="25" t="str">
        <f>"F"&amp;B9</f>
        <v>F21</v>
      </c>
      <c r="D9" s="19" t="str">
        <f>"G"&amp;B9</f>
        <v>G21</v>
      </c>
    </row>
    <row r="10" spans="1:6" ht="13.5" thickBot="1">
      <c r="A10" s="20"/>
      <c r="B10" s="20"/>
      <c r="C10" s="7" t="s">
        <v>21</v>
      </c>
      <c r="D10" s="7" t="s">
        <v>22</v>
      </c>
      <c r="E10" s="20"/>
    </row>
    <row r="11" spans="1:6">
      <c r="A11" s="20" t="s">
        <v>16</v>
      </c>
      <c r="B11" s="20"/>
      <c r="C11" s="24">
        <f ca="1">INTERCEPT(INDIRECT($D$9):G990,INDIRECT($C$9):F990)</f>
        <v>-1.0480126704421611E-2</v>
      </c>
      <c r="D11" s="6"/>
      <c r="E11" s="20"/>
    </row>
    <row r="12" spans="1:6">
      <c r="A12" s="20" t="s">
        <v>17</v>
      </c>
      <c r="B12" s="20"/>
      <c r="C12" s="24">
        <f ca="1">SLOPE(INDIRECT($D$9):G990,INDIRECT($C$9):F990)</f>
        <v>2.8341296951605455E-5</v>
      </c>
      <c r="D12" s="6"/>
      <c r="E12" s="20"/>
    </row>
    <row r="13" spans="1:6">
      <c r="A13" s="20" t="s">
        <v>20</v>
      </c>
      <c r="B13" s="20"/>
      <c r="C13" s="6" t="s">
        <v>14</v>
      </c>
    </row>
    <row r="14" spans="1:6">
      <c r="A14" s="20"/>
      <c r="B14" s="20"/>
      <c r="C14" s="20"/>
    </row>
    <row r="15" spans="1:6">
      <c r="A15" s="26" t="s">
        <v>18</v>
      </c>
      <c r="B15" s="20"/>
      <c r="C15" s="27">
        <f ca="1">(C7+C11)+(C8+C12)*INT(MAX(F21:F3531))</f>
        <v>56962.5139365418</v>
      </c>
      <c r="E15" s="28" t="s">
        <v>47</v>
      </c>
      <c r="F15" s="23">
        <v>1</v>
      </c>
    </row>
    <row r="16" spans="1:6">
      <c r="A16" s="30" t="s">
        <v>4</v>
      </c>
      <c r="B16" s="20"/>
      <c r="C16" s="31">
        <f ca="1">+C8+C12</f>
        <v>1.3596701143841925</v>
      </c>
      <c r="E16" s="28" t="s">
        <v>42</v>
      </c>
      <c r="F16" s="29">
        <f ca="1">NOW()+15018.5+$C$5/24</f>
        <v>60351.758230324071</v>
      </c>
    </row>
    <row r="17" spans="1:17" ht="13.5" thickBot="1">
      <c r="A17" s="28" t="s">
        <v>37</v>
      </c>
      <c r="B17" s="20"/>
      <c r="C17" s="20">
        <f>COUNT(C21:C2189)</f>
        <v>10</v>
      </c>
      <c r="E17" s="28" t="s">
        <v>48</v>
      </c>
      <c r="F17" s="29">
        <f ca="1">ROUND(2*(F16-$C$7)/$C$8,0)/2+F15</f>
        <v>22048</v>
      </c>
    </row>
    <row r="18" spans="1:17" ht="14.25" thickTop="1" thickBot="1">
      <c r="A18" s="30" t="s">
        <v>5</v>
      </c>
      <c r="B18" s="20"/>
      <c r="C18" s="33">
        <f ca="1">+C15</f>
        <v>56962.5139365418</v>
      </c>
      <c r="D18" s="34">
        <f ca="1">+C16</f>
        <v>1.3596701143841925</v>
      </c>
      <c r="E18" s="28" t="s">
        <v>43</v>
      </c>
      <c r="F18" s="19">
        <f ca="1">ROUND(2*(F16-$C$15)/$C$16,0)/2+F15</f>
        <v>2493.5</v>
      </c>
    </row>
    <row r="19" spans="1:17" ht="13.5" thickTop="1">
      <c r="E19" s="28" t="s">
        <v>44</v>
      </c>
      <c r="F19" s="32">
        <f ca="1">+$C$15+$C$16*F18-15018.5-$C$5/24</f>
        <v>45334.747200092119</v>
      </c>
    </row>
    <row r="20" spans="1:17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57</v>
      </c>
      <c r="I20" s="10" t="s">
        <v>60</v>
      </c>
      <c r="J20" s="10" t="s">
        <v>54</v>
      </c>
      <c r="K20" s="10" t="s">
        <v>52</v>
      </c>
      <c r="L20" s="10" t="s">
        <v>28</v>
      </c>
      <c r="M20" s="10" t="s">
        <v>29</v>
      </c>
      <c r="N20" s="10" t="s">
        <v>30</v>
      </c>
      <c r="O20" s="10" t="s">
        <v>24</v>
      </c>
      <c r="P20" s="9" t="s">
        <v>23</v>
      </c>
      <c r="Q20" s="7" t="s">
        <v>15</v>
      </c>
    </row>
    <row r="21" spans="1:17">
      <c r="A21" t="s">
        <v>12</v>
      </c>
      <c r="C21" s="21">
        <f>+C4</f>
        <v>30375.535</v>
      </c>
      <c r="D21" s="21" t="s">
        <v>14</v>
      </c>
      <c r="E21">
        <f t="shared" ref="E21:E29" si="0">+(C21-C$7)/C$8</f>
        <v>0</v>
      </c>
      <c r="F21" s="19">
        <f>ROUND(2*E21,0)/2</f>
        <v>0</v>
      </c>
      <c r="H21">
        <v>0</v>
      </c>
      <c r="O21">
        <f t="shared" ref="O21:O29" ca="1" si="1">+C$11+C$12*$F21</f>
        <v>-1.0480126704421611E-2</v>
      </c>
      <c r="Q21" s="2">
        <f t="shared" ref="Q21:Q29" si="2">+C21-15018.5</f>
        <v>15357.035</v>
      </c>
    </row>
    <row r="22" spans="1:17">
      <c r="A22" s="13" t="s">
        <v>32</v>
      </c>
      <c r="B22" s="14"/>
      <c r="C22" s="13">
        <v>50841.2817</v>
      </c>
      <c r="D22" s="13">
        <v>2.8E-3</v>
      </c>
      <c r="E22">
        <f t="shared" si="0"/>
        <v>15052.307971922559</v>
      </c>
      <c r="F22">
        <f t="shared" ref="F22:F30" si="3">ROUND(2*E22,0)/2-0.5</f>
        <v>15052</v>
      </c>
      <c r="G22">
        <f t="shared" ref="G22:G29" si="4">+C22-(C$7+F22*C$8)</f>
        <v>0.41873149084858596</v>
      </c>
      <c r="K22">
        <f>+G22</f>
        <v>0.41873149084858596</v>
      </c>
      <c r="O22">
        <f t="shared" ca="1" si="1"/>
        <v>0.4161130750111437</v>
      </c>
      <c r="Q22" s="2">
        <f t="shared" si="2"/>
        <v>35822.7817</v>
      </c>
    </row>
    <row r="23" spans="1:17">
      <c r="A23" s="13" t="s">
        <v>32</v>
      </c>
      <c r="B23" s="14"/>
      <c r="C23" s="13">
        <v>50864.395499999999</v>
      </c>
      <c r="D23" s="13">
        <v>2.0999999999999999E-3</v>
      </c>
      <c r="E23">
        <f t="shared" si="0"/>
        <v>15069.3078909141</v>
      </c>
      <c r="F23">
        <f t="shared" si="3"/>
        <v>15069</v>
      </c>
      <c r="G23">
        <f t="shared" si="4"/>
        <v>0.41862134836264886</v>
      </c>
      <c r="K23">
        <f>+G23</f>
        <v>0.41862134836264886</v>
      </c>
      <c r="O23">
        <f t="shared" ca="1" si="1"/>
        <v>0.41659487705932097</v>
      </c>
      <c r="Q23" s="2">
        <f t="shared" si="2"/>
        <v>35845.895499999999</v>
      </c>
    </row>
    <row r="24" spans="1:17">
      <c r="A24" s="13" t="s">
        <v>32</v>
      </c>
      <c r="B24" s="14"/>
      <c r="C24" s="13">
        <v>51129.525199999996</v>
      </c>
      <c r="D24" s="13">
        <v>1.6000000000000001E-3</v>
      </c>
      <c r="E24">
        <f t="shared" si="0"/>
        <v>15264.307563068911</v>
      </c>
      <c r="F24">
        <f t="shared" si="3"/>
        <v>15264</v>
      </c>
      <c r="G24">
        <f t="shared" si="4"/>
        <v>0.41817559635092039</v>
      </c>
      <c r="K24">
        <f>+G24</f>
        <v>0.41817559635092039</v>
      </c>
      <c r="O24">
        <f t="shared" ca="1" si="1"/>
        <v>0.42212142996488405</v>
      </c>
      <c r="Q24" s="2">
        <f t="shared" si="2"/>
        <v>36111.025199999996</v>
      </c>
    </row>
    <row r="25" spans="1:17">
      <c r="A25" s="16" t="s">
        <v>33</v>
      </c>
      <c r="B25" s="17" t="s">
        <v>34</v>
      </c>
      <c r="C25" s="37">
        <v>51193.429199999999</v>
      </c>
      <c r="D25" s="37">
        <v>6.4999999999999997E-3</v>
      </c>
      <c r="E25">
        <f t="shared" si="0"/>
        <v>15311.308178425777</v>
      </c>
      <c r="F25">
        <f t="shared" si="3"/>
        <v>15311</v>
      </c>
      <c r="G25">
        <f t="shared" si="4"/>
        <v>0.41901226124900859</v>
      </c>
      <c r="K25">
        <f>+G25</f>
        <v>0.41901226124900859</v>
      </c>
      <c r="O25">
        <f t="shared" ca="1" si="1"/>
        <v>0.42345347092160951</v>
      </c>
      <c r="Q25" s="2">
        <f t="shared" si="2"/>
        <v>36174.929199999999</v>
      </c>
    </row>
    <row r="26" spans="1:17">
      <c r="A26" s="51" t="s">
        <v>83</v>
      </c>
      <c r="B26" s="52" t="s">
        <v>34</v>
      </c>
      <c r="C26" s="53">
        <v>51654.364000000001</v>
      </c>
      <c r="D26" s="52" t="s">
        <v>60</v>
      </c>
      <c r="E26">
        <f t="shared" si="0"/>
        <v>15650.320121956604</v>
      </c>
      <c r="F26">
        <f t="shared" si="3"/>
        <v>15650</v>
      </c>
      <c r="G26">
        <f t="shared" si="4"/>
        <v>0.4352511846809648</v>
      </c>
      <c r="I26">
        <f>+G26</f>
        <v>0.4352511846809648</v>
      </c>
      <c r="O26">
        <f t="shared" ca="1" si="1"/>
        <v>0.43306117058820376</v>
      </c>
      <c r="Q26" s="2">
        <f t="shared" si="2"/>
        <v>36635.864000000001</v>
      </c>
    </row>
    <row r="27" spans="1:17">
      <c r="A27" s="54" t="s">
        <v>39</v>
      </c>
      <c r="B27" s="55"/>
      <c r="C27" s="56">
        <v>53408.334699999999</v>
      </c>
      <c r="D27" s="56">
        <v>2.0000000000000001E-4</v>
      </c>
      <c r="E27" s="57">
        <f t="shared" si="0"/>
        <v>16940.344255311509</v>
      </c>
      <c r="F27" s="57">
        <f t="shared" si="3"/>
        <v>16940</v>
      </c>
      <c r="G27" s="57">
        <f t="shared" si="4"/>
        <v>0.4680639021389652</v>
      </c>
      <c r="H27" s="57"/>
      <c r="I27" s="57"/>
      <c r="J27" s="57">
        <f>+G27</f>
        <v>0.4680639021389652</v>
      </c>
      <c r="K27" s="57"/>
      <c r="L27" s="57"/>
      <c r="M27" s="57"/>
      <c r="O27">
        <f t="shared" ca="1" si="1"/>
        <v>0.4696214436557748</v>
      </c>
      <c r="Q27" s="2">
        <f t="shared" si="2"/>
        <v>38389.834699999999</v>
      </c>
    </row>
    <row r="28" spans="1:17">
      <c r="A28" s="58" t="s">
        <v>46</v>
      </c>
      <c r="B28" s="59"/>
      <c r="C28" s="58">
        <v>54149.361499999999</v>
      </c>
      <c r="D28" s="58">
        <v>2.2000000000000001E-3</v>
      </c>
      <c r="E28" s="57">
        <f t="shared" si="0"/>
        <v>17485.36046080614</v>
      </c>
      <c r="F28" s="57">
        <f t="shared" si="3"/>
        <v>17485</v>
      </c>
      <c r="G28" s="57">
        <f t="shared" si="4"/>
        <v>0.49009756959276274</v>
      </c>
      <c r="H28" s="57"/>
      <c r="I28" s="57"/>
      <c r="J28" s="57">
        <f>+G28</f>
        <v>0.49009756959276274</v>
      </c>
      <c r="K28" s="57"/>
      <c r="L28" s="57"/>
      <c r="M28" s="57"/>
      <c r="O28">
        <f t="shared" ca="1" si="1"/>
        <v>0.48506745049439975</v>
      </c>
      <c r="Q28" s="2">
        <f t="shared" si="2"/>
        <v>39130.861499999999</v>
      </c>
    </row>
    <row r="29" spans="1:17">
      <c r="A29" s="60" t="s">
        <v>49</v>
      </c>
      <c r="B29" s="61"/>
      <c r="C29" s="60">
        <v>56693.299299999999</v>
      </c>
      <c r="D29" s="60">
        <v>1E-3</v>
      </c>
      <c r="E29" s="57">
        <f t="shared" si="0"/>
        <v>19356.395795520566</v>
      </c>
      <c r="F29" s="57">
        <f t="shared" si="3"/>
        <v>19356</v>
      </c>
      <c r="G29" s="57">
        <f t="shared" si="4"/>
        <v>0.53814012336079031</v>
      </c>
      <c r="H29" s="57"/>
      <c r="I29" s="57"/>
      <c r="J29" s="57">
        <f>+G29</f>
        <v>0.53814012336079031</v>
      </c>
      <c r="K29" s="57"/>
      <c r="L29" s="57"/>
      <c r="M29" s="57"/>
      <c r="O29">
        <f t="shared" ca="1" si="1"/>
        <v>0.53809401709085347</v>
      </c>
      <c r="Q29" s="2">
        <f t="shared" si="2"/>
        <v>41674.799299999999</v>
      </c>
    </row>
    <row r="30" spans="1:17">
      <c r="A30" s="62" t="s">
        <v>103</v>
      </c>
      <c r="B30" s="63" t="s">
        <v>34</v>
      </c>
      <c r="C30" s="64">
        <v>56962.51197</v>
      </c>
      <c r="D30" s="64">
        <v>2.0000000000000001E-4</v>
      </c>
      <c r="E30">
        <f>+(C30-C$7)/C$8</f>
        <v>19554.398442488906</v>
      </c>
      <c r="F30">
        <f t="shared" si="3"/>
        <v>19554</v>
      </c>
      <c r="G30">
        <f>+C30-(C$7+F30*C$8)</f>
        <v>0.54173905208881479</v>
      </c>
      <c r="K30">
        <f>+G30</f>
        <v>0.54173905208881479</v>
      </c>
      <c r="O30">
        <f ca="1">+C$11+C$12*$F30</f>
        <v>0.54370559388727147</v>
      </c>
      <c r="Q30" s="2">
        <f>+C30-15018.5</f>
        <v>41944.01197</v>
      </c>
    </row>
    <row r="31" spans="1:17">
      <c r="A31" s="57"/>
      <c r="B31" s="57"/>
      <c r="C31" s="57"/>
      <c r="D31" s="61"/>
      <c r="E31" s="57"/>
      <c r="F31" s="57"/>
      <c r="G31" s="57"/>
      <c r="H31" s="57"/>
      <c r="I31" s="57"/>
      <c r="J31" s="57"/>
      <c r="K31" s="57"/>
      <c r="L31" s="57"/>
      <c r="M31" s="57"/>
    </row>
    <row r="32" spans="1:17">
      <c r="A32" s="57"/>
      <c r="B32" s="57"/>
      <c r="C32" s="57"/>
      <c r="D32" s="61"/>
      <c r="E32" s="57"/>
      <c r="F32" s="57"/>
      <c r="G32" s="57"/>
      <c r="H32" s="57"/>
      <c r="I32" s="57"/>
      <c r="J32" s="57"/>
      <c r="K32" s="57"/>
      <c r="L32" s="57"/>
      <c r="M32" s="57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  <row r="46" spans="4:4">
      <c r="D46" s="6"/>
    </row>
    <row r="47" spans="4:4">
      <c r="D47" s="6"/>
    </row>
    <row r="48" spans="4:4">
      <c r="D48" s="6"/>
    </row>
    <row r="49" spans="4:4">
      <c r="D49" s="6"/>
    </row>
  </sheetData>
  <phoneticPr fontId="7" type="noConversion"/>
  <hyperlinks>
    <hyperlink ref="H369" r:id="rId1" display="http://vsolj.cetus-net.org/bulletin.html"/>
    <hyperlink ref="H362" r:id="rId2" display="http://vsolj.cetus-net.org/bulletin.html"/>
  </hyperlinks>
  <pageMargins left="0.75" right="0.75" top="1" bottom="1" header="0.5" footer="0.5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activeCell="B2" sqref="B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31</v>
      </c>
    </row>
    <row r="2" spans="1:4">
      <c r="A2" t="s">
        <v>26</v>
      </c>
      <c r="B2" t="s">
        <v>36</v>
      </c>
    </row>
    <row r="3" spans="1:4" ht="13.5" thickBot="1"/>
    <row r="4" spans="1:4" ht="13.5" thickBot="1">
      <c r="A4" s="8" t="s">
        <v>0</v>
      </c>
      <c r="C4" s="11">
        <v>30375.535</v>
      </c>
      <c r="D4" s="12">
        <v>1.3596699999999999</v>
      </c>
    </row>
    <row r="6" spans="1:4">
      <c r="A6" s="8" t="s">
        <v>1</v>
      </c>
    </row>
    <row r="7" spans="1:4">
      <c r="A7" t="s">
        <v>2</v>
      </c>
      <c r="C7">
        <f>+C4</f>
        <v>30375.535</v>
      </c>
    </row>
    <row r="8" spans="1:4">
      <c r="A8" t="s">
        <v>3</v>
      </c>
      <c r="C8">
        <f>+D4</f>
        <v>1.3596699999999999</v>
      </c>
    </row>
    <row r="10" spans="1:4" ht="13.5" thickBot="1">
      <c r="C10" s="7" t="s">
        <v>21</v>
      </c>
      <c r="D10" s="7" t="s">
        <v>22</v>
      </c>
    </row>
    <row r="11" spans="1:4">
      <c r="A11" t="s">
        <v>16</v>
      </c>
      <c r="C11">
        <f>INTERCEPT(G21:G999,$F21:$F999)</f>
        <v>0.41863517420097945</v>
      </c>
      <c r="D11" s="6"/>
    </row>
    <row r="12" spans="1:4">
      <c r="A12" t="s">
        <v>17</v>
      </c>
      <c r="C12">
        <f>SLOPE(G21:G999,$F21:$F999)</f>
        <v>-2.8226912758918192E-5</v>
      </c>
      <c r="D12" s="6"/>
    </row>
    <row r="13" spans="1:4">
      <c r="A13" t="s">
        <v>20</v>
      </c>
      <c r="C13" s="6" t="s">
        <v>14</v>
      </c>
      <c r="D13" s="6"/>
    </row>
    <row r="14" spans="1:4">
      <c r="A14" t="s">
        <v>25</v>
      </c>
    </row>
    <row r="15" spans="1:4">
      <c r="A15" s="3" t="s">
        <v>18</v>
      </c>
      <c r="C15">
        <f>+C7+C11</f>
        <v>30375.953635174203</v>
      </c>
    </row>
    <row r="16" spans="1:4">
      <c r="A16" s="8" t="s">
        <v>4</v>
      </c>
      <c r="C16">
        <f>+C8+C12</f>
        <v>1.359641773087241</v>
      </c>
    </row>
    <row r="17" spans="1:17" ht="13.5" thickBot="1"/>
    <row r="18" spans="1:17">
      <c r="A18" s="8" t="s">
        <v>5</v>
      </c>
      <c r="C18" s="4">
        <f>+C15</f>
        <v>30375.953635174203</v>
      </c>
      <c r="D18" s="5">
        <f>+C16</f>
        <v>1.359641773087241</v>
      </c>
    </row>
    <row r="19" spans="1:17" ht="13.5" thickTop="1"/>
    <row r="20" spans="1:17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35</v>
      </c>
      <c r="J20" s="10" t="s">
        <v>19</v>
      </c>
      <c r="K20" s="10" t="s">
        <v>27</v>
      </c>
      <c r="L20" s="10" t="s">
        <v>28</v>
      </c>
      <c r="M20" s="10" t="s">
        <v>29</v>
      </c>
      <c r="N20" s="10" t="s">
        <v>30</v>
      </c>
      <c r="O20" s="10" t="s">
        <v>24</v>
      </c>
      <c r="P20" s="9" t="s">
        <v>23</v>
      </c>
      <c r="Q20" s="7" t="s">
        <v>15</v>
      </c>
    </row>
    <row r="21" spans="1:17">
      <c r="A21" t="s">
        <v>12</v>
      </c>
      <c r="C21">
        <f>+C4</f>
        <v>30375.535</v>
      </c>
      <c r="D21" s="6" t="s">
        <v>14</v>
      </c>
      <c r="E21">
        <f>+(C21-C$7)/C$8</f>
        <v>0</v>
      </c>
      <c r="F21">
        <f>ROUND(2*E21,0)/2</f>
        <v>0</v>
      </c>
      <c r="H21">
        <v>0</v>
      </c>
      <c r="O21">
        <f>+C$11+C$12*$F21</f>
        <v>0.41863517420097945</v>
      </c>
      <c r="Q21" s="2">
        <f>+C21-15018.5</f>
        <v>15357.035</v>
      </c>
    </row>
    <row r="22" spans="1:17">
      <c r="A22" s="13" t="s">
        <v>32</v>
      </c>
      <c r="B22" s="14"/>
      <c r="C22" s="15">
        <v>50841.2817</v>
      </c>
      <c r="D22" s="14">
        <v>2.8E-3</v>
      </c>
      <c r="E22">
        <f>+(C22-C$7)/C$8</f>
        <v>15051.995484198373</v>
      </c>
      <c r="F22">
        <f>ROUND(2*E22,0)/2</f>
        <v>15052</v>
      </c>
      <c r="G22">
        <f>+C22-(C$7+F22*C$8)</f>
        <v>-6.1399999976856634E-3</v>
      </c>
      <c r="I22">
        <f>+G22</f>
        <v>-6.1399999976856634E-3</v>
      </c>
      <c r="O22">
        <f>+C$11+C$12*$F22</f>
        <v>-6.2363166462571784E-3</v>
      </c>
      <c r="Q22" s="2">
        <f>+C22-15018.5</f>
        <v>35822.7817</v>
      </c>
    </row>
    <row r="23" spans="1:17">
      <c r="A23" s="13" t="s">
        <v>32</v>
      </c>
      <c r="B23" s="14"/>
      <c r="C23" s="15">
        <v>50864.395499999999</v>
      </c>
      <c r="D23" s="14">
        <v>2.0999999999999999E-3</v>
      </c>
      <c r="E23">
        <f>+(C23-C$7)/C$8</f>
        <v>15068.99505026955</v>
      </c>
      <c r="F23">
        <f>ROUND(2*E23,0)/2</f>
        <v>15069</v>
      </c>
      <c r="G23">
        <f>+C23-(C$7+F23*C$8)</f>
        <v>-6.7300000009709038E-3</v>
      </c>
      <c r="I23">
        <f>+G23</f>
        <v>-6.7300000009709038E-3</v>
      </c>
      <c r="O23">
        <f>+C$11+C$12*$F23</f>
        <v>-6.7161741631587835E-3</v>
      </c>
      <c r="Q23" s="2">
        <f>+C23-15018.5</f>
        <v>35845.895499999999</v>
      </c>
    </row>
    <row r="24" spans="1:17">
      <c r="A24" s="13" t="s">
        <v>32</v>
      </c>
      <c r="B24" s="14"/>
      <c r="C24" s="15">
        <v>51129.525199999996</v>
      </c>
      <c r="D24" s="14">
        <v>1.6000000000000001E-3</v>
      </c>
      <c r="E24">
        <f>+(C24-C$7)/C$8</f>
        <v>15263.990674207711</v>
      </c>
      <c r="F24">
        <f>ROUND(2*E24,0)/2</f>
        <v>15264</v>
      </c>
      <c r="G24">
        <f>+C24-(C$7+F24*C$8)</f>
        <v>-1.268000000709435E-2</v>
      </c>
      <c r="I24">
        <f>+G24</f>
        <v>-1.268000000709435E-2</v>
      </c>
      <c r="O24">
        <f>+C$11+C$12*$F24</f>
        <v>-1.2220422151147825E-2</v>
      </c>
      <c r="Q24" s="2">
        <f>+C24-15018.5</f>
        <v>36111.025199999996</v>
      </c>
    </row>
    <row r="25" spans="1:17">
      <c r="A25" s="16" t="s">
        <v>33</v>
      </c>
      <c r="B25" s="17" t="s">
        <v>34</v>
      </c>
      <c r="C25" s="18">
        <v>51193.429199999999</v>
      </c>
      <c r="D25" s="17">
        <v>6.4999999999999997E-3</v>
      </c>
      <c r="E25">
        <f>+(C25-C$7)/C$8</f>
        <v>15310.990313826149</v>
      </c>
      <c r="F25">
        <f>ROUND(2*E25,0)/2</f>
        <v>15311</v>
      </c>
      <c r="G25">
        <f>+C25-(C$7+F25*C$8)</f>
        <v>-1.3170000005629845E-2</v>
      </c>
      <c r="I25">
        <f>+G25</f>
        <v>-1.3170000005629845E-2</v>
      </c>
      <c r="O25">
        <f>+C$11+C$12*$F25</f>
        <v>-1.3547087050816975E-2</v>
      </c>
      <c r="Q25" s="2">
        <f>+C25-15018.5</f>
        <v>36174.929199999999</v>
      </c>
    </row>
    <row r="26" spans="1:17">
      <c r="D26" s="6"/>
      <c r="Q26" s="2"/>
    </row>
    <row r="27" spans="1:17">
      <c r="D27" s="6"/>
      <c r="Q27" s="2"/>
    </row>
    <row r="28" spans="1:17">
      <c r="D28" s="6"/>
      <c r="Q28" s="2"/>
    </row>
    <row r="29" spans="1:17">
      <c r="D29" s="6"/>
      <c r="Q29" s="2"/>
    </row>
    <row r="30" spans="1:17">
      <c r="D30" s="6"/>
      <c r="Q30" s="2"/>
    </row>
    <row r="31" spans="1:17">
      <c r="D31" s="6"/>
      <c r="Q31" s="2"/>
    </row>
    <row r="32" spans="1:17">
      <c r="D32" s="6"/>
      <c r="Q32" s="2"/>
    </row>
    <row r="33" spans="4:17">
      <c r="D33" s="6"/>
      <c r="Q33" s="2"/>
    </row>
    <row r="34" spans="4:17">
      <c r="D34" s="6"/>
    </row>
    <row r="35" spans="4:17">
      <c r="D35" s="6"/>
    </row>
    <row r="36" spans="4:17">
      <c r="D36" s="6"/>
    </row>
    <row r="37" spans="4:17">
      <c r="D37" s="6"/>
    </row>
    <row r="38" spans="4:17">
      <c r="D38" s="6"/>
    </row>
    <row r="39" spans="4:17">
      <c r="D39" s="6"/>
    </row>
    <row r="40" spans="4:17">
      <c r="D40" s="6"/>
    </row>
    <row r="41" spans="4:17">
      <c r="D41" s="6"/>
    </row>
    <row r="42" spans="4:17">
      <c r="D42" s="6"/>
    </row>
    <row r="43" spans="4:17">
      <c r="D43" s="6"/>
    </row>
    <row r="44" spans="4:17">
      <c r="D44" s="6"/>
    </row>
    <row r="45" spans="4:17">
      <c r="D45" s="6"/>
    </row>
    <row r="46" spans="4:17">
      <c r="D46" s="6"/>
    </row>
    <row r="47" spans="4:17">
      <c r="D47" s="6"/>
    </row>
    <row r="48" spans="4:17">
      <c r="D48" s="6"/>
    </row>
    <row r="49" spans="4:4">
      <c r="D49" s="6"/>
    </row>
    <row r="50" spans="4:4">
      <c r="D50" s="6"/>
    </row>
    <row r="51" spans="4:4">
      <c r="D51" s="6"/>
    </row>
    <row r="52" spans="4:4">
      <c r="D52" s="6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6"/>
  <sheetViews>
    <sheetView workbookViewId="0">
      <selection activeCell="A18" sqref="A18:D18"/>
    </sheetView>
  </sheetViews>
  <sheetFormatPr defaultRowHeight="12.75"/>
  <cols>
    <col min="1" max="1" width="19.7109375" style="21" customWidth="1"/>
    <col min="2" max="2" width="4.42578125" style="20" customWidth="1"/>
    <col min="3" max="3" width="12.7109375" style="21" customWidth="1"/>
    <col min="4" max="4" width="5.42578125" style="20" customWidth="1"/>
    <col min="5" max="5" width="14.85546875" style="20" customWidth="1"/>
    <col min="6" max="6" width="9.140625" style="20"/>
    <col min="7" max="7" width="12" style="20" customWidth="1"/>
    <col min="8" max="8" width="14.140625" style="21" customWidth="1"/>
    <col min="9" max="9" width="22.5703125" style="20" customWidth="1"/>
    <col min="10" max="10" width="25.140625" style="20" customWidth="1"/>
    <col min="11" max="11" width="15.7109375" style="20" customWidth="1"/>
    <col min="12" max="12" width="14.140625" style="20" customWidth="1"/>
    <col min="13" max="13" width="9.5703125" style="20" customWidth="1"/>
    <col min="14" max="14" width="14.140625" style="20" customWidth="1"/>
    <col min="15" max="15" width="23.42578125" style="20" customWidth="1"/>
    <col min="16" max="16" width="16.5703125" style="20" customWidth="1"/>
    <col min="17" max="17" width="41" style="20" customWidth="1"/>
    <col min="18" max="16384" width="9.140625" style="20"/>
  </cols>
  <sheetData>
    <row r="1" spans="1:16" ht="15.75">
      <c r="A1" s="38" t="s">
        <v>50</v>
      </c>
      <c r="I1" s="39" t="s">
        <v>51</v>
      </c>
      <c r="J1" s="40" t="s">
        <v>52</v>
      </c>
    </row>
    <row r="2" spans="1:16">
      <c r="I2" s="41" t="s">
        <v>53</v>
      </c>
      <c r="J2" s="42" t="s">
        <v>54</v>
      </c>
    </row>
    <row r="3" spans="1:16">
      <c r="A3" s="43" t="s">
        <v>55</v>
      </c>
      <c r="I3" s="41" t="s">
        <v>56</v>
      </c>
      <c r="J3" s="42" t="s">
        <v>57</v>
      </c>
    </row>
    <row r="4" spans="1:16">
      <c r="I4" s="41" t="s">
        <v>58</v>
      </c>
      <c r="J4" s="42" t="s">
        <v>57</v>
      </c>
    </row>
    <row r="5" spans="1:16" ht="13.5" thickBot="1">
      <c r="I5" s="44" t="s">
        <v>59</v>
      </c>
      <c r="J5" s="45" t="s">
        <v>60</v>
      </c>
    </row>
    <row r="10" spans="1:16" ht="13.5" thickBot="1"/>
    <row r="11" spans="1:16" ht="12.75" customHeight="1" thickBot="1">
      <c r="A11" s="21" t="str">
        <f t="shared" ref="A11:A18" si="0">P11</f>
        <v>IBVS 4888 </v>
      </c>
      <c r="B11" s="6" t="str">
        <f t="shared" ref="B11:B18" si="1">IF(H11=INT(H11),"I","II")</f>
        <v>I</v>
      </c>
      <c r="C11" s="21">
        <f t="shared" ref="C11:C18" si="2">1*G11</f>
        <v>50841.2817</v>
      </c>
      <c r="D11" s="20" t="str">
        <f t="shared" ref="D11:D18" si="3">VLOOKUP(F11,I$1:J$5,2,FALSE)</f>
        <v>vis</v>
      </c>
      <c r="E11" s="46">
        <f>VLOOKUP(C11,Active!C$21:E$973,3,FALSE)</f>
        <v>15052.307971922559</v>
      </c>
      <c r="F11" s="6" t="s">
        <v>59</v>
      </c>
      <c r="G11" s="20" t="str">
        <f t="shared" ref="G11:G18" si="4">MID(I11,3,LEN(I11)-3)</f>
        <v>50841.2817</v>
      </c>
      <c r="H11" s="21">
        <f t="shared" ref="H11:H18" si="5">1*K11</f>
        <v>15052</v>
      </c>
      <c r="I11" s="47" t="s">
        <v>61</v>
      </c>
      <c r="J11" s="48" t="s">
        <v>62</v>
      </c>
      <c r="K11" s="47">
        <v>15052</v>
      </c>
      <c r="L11" s="47" t="s">
        <v>63</v>
      </c>
      <c r="M11" s="48" t="s">
        <v>64</v>
      </c>
      <c r="N11" s="48" t="s">
        <v>65</v>
      </c>
      <c r="O11" s="49" t="s">
        <v>66</v>
      </c>
      <c r="P11" s="50" t="s">
        <v>67</v>
      </c>
    </row>
    <row r="12" spans="1:16" ht="12.75" customHeight="1" thickBot="1">
      <c r="A12" s="21" t="str">
        <f t="shared" si="0"/>
        <v>IBVS 4888 </v>
      </c>
      <c r="B12" s="6" t="str">
        <f t="shared" si="1"/>
        <v>I</v>
      </c>
      <c r="C12" s="21">
        <f t="shared" si="2"/>
        <v>50864.395499999999</v>
      </c>
      <c r="D12" s="20" t="str">
        <f t="shared" si="3"/>
        <v>vis</v>
      </c>
      <c r="E12" s="46">
        <f>VLOOKUP(C12,Active!C$21:E$973,3,FALSE)</f>
        <v>15069.3078909141</v>
      </c>
      <c r="F12" s="6" t="s">
        <v>59</v>
      </c>
      <c r="G12" s="20" t="str">
        <f t="shared" si="4"/>
        <v>50864.3955</v>
      </c>
      <c r="H12" s="21">
        <f t="shared" si="5"/>
        <v>15069</v>
      </c>
      <c r="I12" s="47" t="s">
        <v>68</v>
      </c>
      <c r="J12" s="48" t="s">
        <v>69</v>
      </c>
      <c r="K12" s="47">
        <v>15069</v>
      </c>
      <c r="L12" s="47" t="s">
        <v>70</v>
      </c>
      <c r="M12" s="48" t="s">
        <v>64</v>
      </c>
      <c r="N12" s="48" t="s">
        <v>65</v>
      </c>
      <c r="O12" s="49" t="s">
        <v>66</v>
      </c>
      <c r="P12" s="50" t="s">
        <v>67</v>
      </c>
    </row>
    <row r="13" spans="1:16" ht="12.75" customHeight="1" thickBot="1">
      <c r="A13" s="21" t="str">
        <f t="shared" si="0"/>
        <v>IBVS 4888 </v>
      </c>
      <c r="B13" s="6" t="str">
        <f t="shared" si="1"/>
        <v>I</v>
      </c>
      <c r="C13" s="21">
        <f t="shared" si="2"/>
        <v>51129.525199999996</v>
      </c>
      <c r="D13" s="20" t="str">
        <f t="shared" si="3"/>
        <v>vis</v>
      </c>
      <c r="E13" s="46">
        <f>VLOOKUP(C13,Active!C$21:E$973,3,FALSE)</f>
        <v>15264.307563068911</v>
      </c>
      <c r="F13" s="6" t="s">
        <v>59</v>
      </c>
      <c r="G13" s="20" t="str">
        <f t="shared" si="4"/>
        <v>51129.5252</v>
      </c>
      <c r="H13" s="21">
        <f t="shared" si="5"/>
        <v>15264</v>
      </c>
      <c r="I13" s="47" t="s">
        <v>71</v>
      </c>
      <c r="J13" s="48" t="s">
        <v>72</v>
      </c>
      <c r="K13" s="47">
        <v>15264</v>
      </c>
      <c r="L13" s="47" t="s">
        <v>73</v>
      </c>
      <c r="M13" s="48" t="s">
        <v>64</v>
      </c>
      <c r="N13" s="48" t="s">
        <v>65</v>
      </c>
      <c r="O13" s="49" t="s">
        <v>66</v>
      </c>
      <c r="P13" s="50" t="s">
        <v>67</v>
      </c>
    </row>
    <row r="14" spans="1:16" ht="12.75" customHeight="1" thickBot="1">
      <c r="A14" s="21" t="str">
        <f t="shared" si="0"/>
        <v>IBVS 5263 </v>
      </c>
      <c r="B14" s="6" t="str">
        <f t="shared" si="1"/>
        <v>I</v>
      </c>
      <c r="C14" s="21">
        <f t="shared" si="2"/>
        <v>51193.429199999999</v>
      </c>
      <c r="D14" s="20" t="str">
        <f t="shared" si="3"/>
        <v>vis</v>
      </c>
      <c r="E14" s="46">
        <f>VLOOKUP(C14,Active!C$21:E$973,3,FALSE)</f>
        <v>15311.308178425777</v>
      </c>
      <c r="F14" s="6" t="s">
        <v>59</v>
      </c>
      <c r="G14" s="20" t="str">
        <f t="shared" si="4"/>
        <v>51193.4292</v>
      </c>
      <c r="H14" s="21">
        <f t="shared" si="5"/>
        <v>15311</v>
      </c>
      <c r="I14" s="47" t="s">
        <v>74</v>
      </c>
      <c r="J14" s="48" t="s">
        <v>75</v>
      </c>
      <c r="K14" s="47">
        <v>15311</v>
      </c>
      <c r="L14" s="47" t="s">
        <v>76</v>
      </c>
      <c r="M14" s="48" t="s">
        <v>64</v>
      </c>
      <c r="N14" s="48" t="s">
        <v>65</v>
      </c>
      <c r="O14" s="49" t="s">
        <v>77</v>
      </c>
      <c r="P14" s="50" t="s">
        <v>78</v>
      </c>
    </row>
    <row r="15" spans="1:16" ht="12.75" customHeight="1" thickBot="1">
      <c r="A15" s="21" t="str">
        <f t="shared" si="0"/>
        <v>BAVM 178 </v>
      </c>
      <c r="B15" s="6" t="str">
        <f t="shared" si="1"/>
        <v>I</v>
      </c>
      <c r="C15" s="21">
        <f t="shared" si="2"/>
        <v>53408.334699999999</v>
      </c>
      <c r="D15" s="20" t="str">
        <f t="shared" si="3"/>
        <v>vis</v>
      </c>
      <c r="E15" s="46">
        <f>VLOOKUP(C15,Active!C$21:E$973,3,FALSE)</f>
        <v>16940.344255311509</v>
      </c>
      <c r="F15" s="6" t="s">
        <v>59</v>
      </c>
      <c r="G15" s="20" t="str">
        <f t="shared" si="4"/>
        <v>53408.3347</v>
      </c>
      <c r="H15" s="21">
        <f t="shared" si="5"/>
        <v>16940</v>
      </c>
      <c r="I15" s="47" t="s">
        <v>84</v>
      </c>
      <c r="J15" s="48" t="s">
        <v>85</v>
      </c>
      <c r="K15" s="47">
        <v>16940</v>
      </c>
      <c r="L15" s="47" t="s">
        <v>86</v>
      </c>
      <c r="M15" s="48" t="s">
        <v>87</v>
      </c>
      <c r="N15" s="48" t="s">
        <v>88</v>
      </c>
      <c r="O15" s="49" t="s">
        <v>89</v>
      </c>
      <c r="P15" s="50" t="s">
        <v>90</v>
      </c>
    </row>
    <row r="16" spans="1:16" ht="12.75" customHeight="1" thickBot="1">
      <c r="A16" s="21" t="str">
        <f t="shared" si="0"/>
        <v>BAVM 186 </v>
      </c>
      <c r="B16" s="6" t="str">
        <f t="shared" si="1"/>
        <v>I</v>
      </c>
      <c r="C16" s="21">
        <f t="shared" si="2"/>
        <v>54149.361499999999</v>
      </c>
      <c r="D16" s="20" t="str">
        <f t="shared" si="3"/>
        <v>vis</v>
      </c>
      <c r="E16" s="46">
        <f>VLOOKUP(C16,Active!C$21:E$973,3,FALSE)</f>
        <v>17485.36046080614</v>
      </c>
      <c r="F16" s="6" t="s">
        <v>59</v>
      </c>
      <c r="G16" s="20" t="str">
        <f t="shared" si="4"/>
        <v>54149.3615</v>
      </c>
      <c r="H16" s="21">
        <f t="shared" si="5"/>
        <v>17485</v>
      </c>
      <c r="I16" s="47" t="s">
        <v>91</v>
      </c>
      <c r="J16" s="48" t="s">
        <v>92</v>
      </c>
      <c r="K16" s="47">
        <v>17485</v>
      </c>
      <c r="L16" s="47" t="s">
        <v>93</v>
      </c>
      <c r="M16" s="48" t="s">
        <v>87</v>
      </c>
      <c r="N16" s="48" t="s">
        <v>94</v>
      </c>
      <c r="O16" s="49" t="s">
        <v>95</v>
      </c>
      <c r="P16" s="50" t="s">
        <v>96</v>
      </c>
    </row>
    <row r="17" spans="1:16" ht="12.75" customHeight="1" thickBot="1">
      <c r="A17" s="21" t="str">
        <f t="shared" si="0"/>
        <v>BAVM 239 </v>
      </c>
      <c r="B17" s="6" t="str">
        <f t="shared" si="1"/>
        <v>I</v>
      </c>
      <c r="C17" s="21">
        <f t="shared" si="2"/>
        <v>56693.299299999999</v>
      </c>
      <c r="D17" s="20" t="str">
        <f t="shared" si="3"/>
        <v>vis</v>
      </c>
      <c r="E17" s="46">
        <f>VLOOKUP(C17,Active!C$21:E$973,3,FALSE)</f>
        <v>19356.395795520566</v>
      </c>
      <c r="F17" s="6" t="s">
        <v>59</v>
      </c>
      <c r="G17" s="20" t="str">
        <f t="shared" si="4"/>
        <v>56693.2993</v>
      </c>
      <c r="H17" s="21">
        <f t="shared" si="5"/>
        <v>19356</v>
      </c>
      <c r="I17" s="47" t="s">
        <v>97</v>
      </c>
      <c r="J17" s="48" t="s">
        <v>98</v>
      </c>
      <c r="K17" s="47" t="s">
        <v>99</v>
      </c>
      <c r="L17" s="47" t="s">
        <v>100</v>
      </c>
      <c r="M17" s="48" t="s">
        <v>87</v>
      </c>
      <c r="N17" s="48" t="s">
        <v>88</v>
      </c>
      <c r="O17" s="49" t="s">
        <v>101</v>
      </c>
      <c r="P17" s="50" t="s">
        <v>102</v>
      </c>
    </row>
    <row r="18" spans="1:16" ht="12.75" customHeight="1" thickBot="1">
      <c r="A18" s="21" t="str">
        <f t="shared" si="0"/>
        <v> BBS 122 </v>
      </c>
      <c r="B18" s="6" t="str">
        <f t="shared" si="1"/>
        <v>I</v>
      </c>
      <c r="C18" s="21">
        <f t="shared" si="2"/>
        <v>51654.364000000001</v>
      </c>
      <c r="D18" s="20" t="str">
        <f t="shared" si="3"/>
        <v>vis</v>
      </c>
      <c r="E18" s="46">
        <f>VLOOKUP(C18,Active!C$21:E$973,3,FALSE)</f>
        <v>15650.320121956604</v>
      </c>
      <c r="F18" s="6" t="s">
        <v>59</v>
      </c>
      <c r="G18" s="20" t="str">
        <f t="shared" si="4"/>
        <v>51654.364</v>
      </c>
      <c r="H18" s="21">
        <f t="shared" si="5"/>
        <v>15650</v>
      </c>
      <c r="I18" s="47" t="s">
        <v>79</v>
      </c>
      <c r="J18" s="48" t="s">
        <v>80</v>
      </c>
      <c r="K18" s="47">
        <v>15650</v>
      </c>
      <c r="L18" s="47" t="s">
        <v>81</v>
      </c>
      <c r="M18" s="48" t="s">
        <v>64</v>
      </c>
      <c r="N18" s="48" t="s">
        <v>65</v>
      </c>
      <c r="O18" s="49" t="s">
        <v>82</v>
      </c>
      <c r="P18" s="49" t="s">
        <v>83</v>
      </c>
    </row>
    <row r="19" spans="1:16">
      <c r="B19" s="6"/>
      <c r="F19" s="6"/>
    </row>
    <row r="20" spans="1:16">
      <c r="B20" s="6"/>
      <c r="F20" s="6"/>
    </row>
    <row r="21" spans="1:16">
      <c r="B21" s="6"/>
      <c r="F21" s="6"/>
    </row>
    <row r="22" spans="1:16">
      <c r="B22" s="6"/>
      <c r="F22" s="6"/>
    </row>
    <row r="23" spans="1:16">
      <c r="B23" s="6"/>
      <c r="F23" s="6"/>
    </row>
    <row r="24" spans="1:16">
      <c r="B24" s="6"/>
      <c r="F24" s="6"/>
    </row>
    <row r="25" spans="1:16">
      <c r="B25" s="6"/>
      <c r="F25" s="6"/>
    </row>
    <row r="26" spans="1:16">
      <c r="B26" s="6"/>
      <c r="F26" s="6"/>
    </row>
    <row r="27" spans="1:16">
      <c r="B27" s="6"/>
      <c r="F27" s="6"/>
    </row>
    <row r="28" spans="1:16">
      <c r="B28" s="6"/>
      <c r="F28" s="6"/>
    </row>
    <row r="29" spans="1:16">
      <c r="B29" s="6"/>
      <c r="F29" s="6"/>
    </row>
    <row r="30" spans="1:16">
      <c r="B30" s="6"/>
      <c r="F30" s="6"/>
    </row>
    <row r="31" spans="1:16">
      <c r="B31" s="6"/>
      <c r="F31" s="6"/>
    </row>
    <row r="32" spans="1:16">
      <c r="B32" s="6"/>
      <c r="F32" s="6"/>
    </row>
    <row r="33" spans="2:6">
      <c r="B33" s="6"/>
      <c r="F33" s="6"/>
    </row>
    <row r="34" spans="2:6">
      <c r="B34" s="6"/>
      <c r="F34" s="6"/>
    </row>
    <row r="35" spans="2:6">
      <c r="B35" s="6"/>
      <c r="F35" s="6"/>
    </row>
    <row r="36" spans="2:6">
      <c r="B36" s="6"/>
      <c r="F36" s="6"/>
    </row>
    <row r="37" spans="2:6">
      <c r="B37" s="6"/>
      <c r="F37" s="6"/>
    </row>
    <row r="38" spans="2:6">
      <c r="B38" s="6"/>
      <c r="F38" s="6"/>
    </row>
    <row r="39" spans="2:6">
      <c r="B39" s="6"/>
      <c r="F39" s="6"/>
    </row>
    <row r="40" spans="2:6">
      <c r="B40" s="6"/>
      <c r="F40" s="6"/>
    </row>
    <row r="41" spans="2:6">
      <c r="B41" s="6"/>
      <c r="F41" s="6"/>
    </row>
    <row r="42" spans="2:6">
      <c r="B42" s="6"/>
      <c r="F42" s="6"/>
    </row>
    <row r="43" spans="2:6">
      <c r="B43" s="6"/>
      <c r="F43" s="6"/>
    </row>
    <row r="44" spans="2:6">
      <c r="B44" s="6"/>
      <c r="F44" s="6"/>
    </row>
    <row r="45" spans="2:6">
      <c r="B45" s="6"/>
      <c r="F45" s="6"/>
    </row>
    <row r="46" spans="2:6">
      <c r="B46" s="6"/>
      <c r="F46" s="6"/>
    </row>
    <row r="47" spans="2:6">
      <c r="B47" s="6"/>
      <c r="F47" s="6"/>
    </row>
    <row r="48" spans="2: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</sheetData>
  <phoneticPr fontId="7" type="noConversion"/>
  <hyperlinks>
    <hyperlink ref="P11" r:id="rId1" display="http://www.konkoly.hu/cgi-bin/IBVS?4888"/>
    <hyperlink ref="P12" r:id="rId2" display="http://www.konkoly.hu/cgi-bin/IBVS?4888"/>
    <hyperlink ref="P13" r:id="rId3" display="http://www.konkoly.hu/cgi-bin/IBVS?4888"/>
    <hyperlink ref="P14" r:id="rId4" display="http://www.konkoly.hu/cgi-bin/IBVS?5263"/>
    <hyperlink ref="P15" r:id="rId5" display="http://www.bav-astro.de/sfs/BAVM_link.php?BAVMnr=178"/>
    <hyperlink ref="P16" r:id="rId6" display="http://www.bav-astro.de/sfs/BAVM_link.php?BAVMnr=186"/>
    <hyperlink ref="P17" r:id="rId7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2024-02-11T05:11:51Z</dcterms:modified>
</cp:coreProperties>
</file>