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68D131E-D5AE-4D7B-BC7A-68FDDA4C0B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4" r:id="rId3"/>
    <sheet name="C" sheetId="3" r:id="rId4"/>
  </sheets>
  <calcPr calcId="181029"/>
</workbook>
</file>

<file path=xl/calcChain.xml><?xml version="1.0" encoding="utf-8"?>
<calcChain xmlns="http://schemas.openxmlformats.org/spreadsheetml/2006/main">
  <c r="E21" i="2" l="1"/>
  <c r="F21" i="2" s="1"/>
  <c r="G21" i="2" s="1"/>
  <c r="K21" i="2" s="1"/>
  <c r="Q21" i="2"/>
  <c r="C21" i="2"/>
  <c r="A21" i="2"/>
  <c r="E58" i="2"/>
  <c r="F58" i="2"/>
  <c r="G58" i="2"/>
  <c r="K58" i="2"/>
  <c r="Q58" i="2"/>
  <c r="E60" i="2"/>
  <c r="F60" i="2"/>
  <c r="G60" i="2"/>
  <c r="K60" i="2"/>
  <c r="E59" i="2"/>
  <c r="F59" i="2"/>
  <c r="G59" i="2" s="1"/>
  <c r="K59" i="2" s="1"/>
  <c r="D9" i="2"/>
  <c r="C9" i="2"/>
  <c r="Q60" i="2"/>
  <c r="Q59" i="2"/>
  <c r="E22" i="2"/>
  <c r="F22" i="2"/>
  <c r="G22" i="2" s="1"/>
  <c r="J22" i="2" s="1"/>
  <c r="E23" i="2"/>
  <c r="F23" i="2" s="1"/>
  <c r="G23" i="2" s="1"/>
  <c r="J23" i="2" s="1"/>
  <c r="E24" i="2"/>
  <c r="F24" i="2"/>
  <c r="G24" i="2"/>
  <c r="J24" i="2" s="1"/>
  <c r="E25" i="2"/>
  <c r="F25" i="2" s="1"/>
  <c r="G25" i="2" s="1"/>
  <c r="J25" i="2" s="1"/>
  <c r="E26" i="2"/>
  <c r="F26" i="2"/>
  <c r="G26" i="2"/>
  <c r="J26" i="2"/>
  <c r="E27" i="2"/>
  <c r="F27" i="2" s="1"/>
  <c r="G27" i="2" s="1"/>
  <c r="J27" i="2" s="1"/>
  <c r="E28" i="2"/>
  <c r="E16" i="4"/>
  <c r="F28" i="2"/>
  <c r="G28" i="2"/>
  <c r="J28" i="2" s="1"/>
  <c r="E29" i="2"/>
  <c r="F29" i="2" s="1"/>
  <c r="G29" i="2" s="1"/>
  <c r="J29" i="2" s="1"/>
  <c r="E30" i="2"/>
  <c r="E18" i="4" s="1"/>
  <c r="F30" i="2"/>
  <c r="G30" i="2"/>
  <c r="E31" i="2"/>
  <c r="F31" i="2" s="1"/>
  <c r="G31" i="2" s="1"/>
  <c r="J31" i="2" s="1"/>
  <c r="E32" i="2"/>
  <c r="F32" i="2"/>
  <c r="G32" i="2"/>
  <c r="J32" i="2"/>
  <c r="E33" i="2"/>
  <c r="F33" i="2" s="1"/>
  <c r="G33" i="2" s="1"/>
  <c r="J33" i="2" s="1"/>
  <c r="E34" i="2"/>
  <c r="F34" i="2"/>
  <c r="G34" i="2"/>
  <c r="J34" i="2"/>
  <c r="E35" i="2"/>
  <c r="F35" i="2" s="1"/>
  <c r="G35" i="2" s="1"/>
  <c r="J35" i="2" s="1"/>
  <c r="E36" i="2"/>
  <c r="F36" i="2"/>
  <c r="G36" i="2"/>
  <c r="J36" i="2"/>
  <c r="E37" i="2"/>
  <c r="F37" i="2"/>
  <c r="G37" i="2" s="1"/>
  <c r="K37" i="2" s="1"/>
  <c r="E39" i="2"/>
  <c r="F39" i="2"/>
  <c r="G39" i="2"/>
  <c r="K39" i="2"/>
  <c r="E40" i="2"/>
  <c r="E27" i="4" s="1"/>
  <c r="F40" i="2"/>
  <c r="G40" i="2" s="1"/>
  <c r="K40" i="2" s="1"/>
  <c r="E41" i="2"/>
  <c r="F41" i="2"/>
  <c r="G41" i="2"/>
  <c r="E42" i="2"/>
  <c r="F42" i="2"/>
  <c r="G42" i="2"/>
  <c r="K42" i="2" s="1"/>
  <c r="E43" i="2"/>
  <c r="F43" i="2"/>
  <c r="G43" i="2"/>
  <c r="K43" i="2"/>
  <c r="E44" i="2"/>
  <c r="E31" i="4"/>
  <c r="F44" i="2"/>
  <c r="G44" i="2" s="1"/>
  <c r="K44" i="2" s="1"/>
  <c r="E45" i="2"/>
  <c r="F45" i="2"/>
  <c r="G45" i="2"/>
  <c r="K45" i="2"/>
  <c r="E47" i="2"/>
  <c r="E34" i="4" s="1"/>
  <c r="F47" i="2"/>
  <c r="G47" i="2" s="1"/>
  <c r="J47" i="2" s="1"/>
  <c r="E49" i="2"/>
  <c r="F49" i="2"/>
  <c r="G49" i="2"/>
  <c r="J49" i="2"/>
  <c r="E52" i="2"/>
  <c r="E39" i="4" s="1"/>
  <c r="F52" i="2"/>
  <c r="G52" i="2" s="1"/>
  <c r="K52" i="2" s="1"/>
  <c r="E53" i="2"/>
  <c r="F53" i="2"/>
  <c r="G53" i="2"/>
  <c r="J53" i="2"/>
  <c r="E54" i="2"/>
  <c r="E41" i="4" s="1"/>
  <c r="F54" i="2"/>
  <c r="G54" i="2" s="1"/>
  <c r="J54" i="2" s="1"/>
  <c r="E55" i="2"/>
  <c r="F55" i="2"/>
  <c r="G55" i="2"/>
  <c r="J55" i="2"/>
  <c r="E56" i="2"/>
  <c r="F56" i="2"/>
  <c r="G56" i="2" s="1"/>
  <c r="J56" i="2" s="1"/>
  <c r="E57" i="2"/>
  <c r="F57" i="2"/>
  <c r="G57" i="2"/>
  <c r="J57" i="2"/>
  <c r="E38" i="2"/>
  <c r="F38" i="2"/>
  <c r="G38" i="2" s="1"/>
  <c r="K38" i="2" s="1"/>
  <c r="E46" i="2"/>
  <c r="F46" i="2"/>
  <c r="G46" i="2"/>
  <c r="J46" i="2"/>
  <c r="E48" i="2"/>
  <c r="F48" i="2"/>
  <c r="G48" i="2" s="1"/>
  <c r="J48" i="2" s="1"/>
  <c r="E50" i="2"/>
  <c r="F50" i="2"/>
  <c r="G50" i="2"/>
  <c r="J50" i="2"/>
  <c r="E51" i="2"/>
  <c r="E38" i="4" s="1"/>
  <c r="F51" i="2"/>
  <c r="G51" i="2" s="1"/>
  <c r="J51" i="2" s="1"/>
  <c r="G44" i="4"/>
  <c r="C44" i="4"/>
  <c r="G43" i="4"/>
  <c r="C43" i="4"/>
  <c r="E43" i="4"/>
  <c r="G42" i="4"/>
  <c r="C42" i="4"/>
  <c r="E42" i="4"/>
  <c r="G41" i="4"/>
  <c r="C41" i="4"/>
  <c r="G40" i="4"/>
  <c r="C40" i="4"/>
  <c r="E40" i="4"/>
  <c r="G39" i="4"/>
  <c r="C39" i="4"/>
  <c r="G38" i="4"/>
  <c r="C38" i="4"/>
  <c r="G37" i="4"/>
  <c r="C37" i="4"/>
  <c r="E37" i="4"/>
  <c r="G36" i="4"/>
  <c r="C36" i="4"/>
  <c r="E36" i="4"/>
  <c r="G35" i="4"/>
  <c r="C35" i="4"/>
  <c r="E35" i="4"/>
  <c r="G34" i="4"/>
  <c r="C34" i="4"/>
  <c r="G33" i="4"/>
  <c r="C33" i="4"/>
  <c r="E33" i="4"/>
  <c r="G32" i="4"/>
  <c r="C32" i="4"/>
  <c r="E32" i="4"/>
  <c r="G31" i="4"/>
  <c r="C31" i="4"/>
  <c r="G30" i="4"/>
  <c r="C30" i="4"/>
  <c r="E30" i="4"/>
  <c r="G29" i="4"/>
  <c r="C29" i="4"/>
  <c r="E29" i="4"/>
  <c r="G28" i="4"/>
  <c r="C28" i="4"/>
  <c r="E28" i="4"/>
  <c r="G27" i="4"/>
  <c r="C27" i="4"/>
  <c r="G26" i="4"/>
  <c r="C26" i="4"/>
  <c r="E26" i="4"/>
  <c r="G45" i="4"/>
  <c r="C45" i="4"/>
  <c r="E45" i="4"/>
  <c r="G25" i="4"/>
  <c r="C25" i="4"/>
  <c r="E25" i="4"/>
  <c r="G24" i="4"/>
  <c r="C24" i="4"/>
  <c r="G23" i="4"/>
  <c r="C23" i="4"/>
  <c r="G22" i="4"/>
  <c r="C22" i="4"/>
  <c r="E22" i="4"/>
  <c r="G21" i="4"/>
  <c r="C21" i="4"/>
  <c r="G20" i="4"/>
  <c r="C20" i="4"/>
  <c r="E20" i="4"/>
  <c r="G19" i="4"/>
  <c r="C19" i="4"/>
  <c r="E19" i="4"/>
  <c r="G18" i="4"/>
  <c r="C18" i="4"/>
  <c r="G17" i="4"/>
  <c r="C17" i="4"/>
  <c r="E17" i="4"/>
  <c r="G16" i="4"/>
  <c r="C16" i="4"/>
  <c r="G15" i="4"/>
  <c r="C15" i="4"/>
  <c r="G14" i="4"/>
  <c r="C14" i="4"/>
  <c r="E14" i="4"/>
  <c r="G13" i="4"/>
  <c r="C13" i="4"/>
  <c r="E13" i="4"/>
  <c r="G12" i="4"/>
  <c r="C12" i="4"/>
  <c r="E12" i="4"/>
  <c r="G11" i="4"/>
  <c r="C11" i="4"/>
  <c r="E11" i="4"/>
  <c r="H44" i="4"/>
  <c r="D44" i="4"/>
  <c r="B44" i="4"/>
  <c r="A44" i="4"/>
  <c r="H43" i="4"/>
  <c r="B43" i="4"/>
  <c r="D43" i="4"/>
  <c r="A43" i="4"/>
  <c r="H42" i="4"/>
  <c r="D42" i="4"/>
  <c r="B42" i="4"/>
  <c r="A42" i="4"/>
  <c r="H41" i="4"/>
  <c r="B41" i="4"/>
  <c r="D41" i="4"/>
  <c r="A41" i="4"/>
  <c r="H40" i="4"/>
  <c r="D40" i="4"/>
  <c r="B40" i="4"/>
  <c r="A40" i="4"/>
  <c r="H39" i="4"/>
  <c r="B39" i="4"/>
  <c r="D39" i="4"/>
  <c r="A39" i="4"/>
  <c r="H38" i="4"/>
  <c r="D38" i="4"/>
  <c r="B38" i="4"/>
  <c r="A38" i="4"/>
  <c r="H37" i="4"/>
  <c r="B37" i="4"/>
  <c r="D37" i="4"/>
  <c r="A37" i="4"/>
  <c r="H36" i="4"/>
  <c r="D36" i="4"/>
  <c r="B36" i="4"/>
  <c r="A36" i="4"/>
  <c r="H35" i="4"/>
  <c r="B35" i="4"/>
  <c r="D35" i="4"/>
  <c r="A35" i="4"/>
  <c r="H34" i="4"/>
  <c r="D34" i="4"/>
  <c r="B34" i="4"/>
  <c r="A34" i="4"/>
  <c r="H33" i="4"/>
  <c r="B33" i="4"/>
  <c r="D33" i="4"/>
  <c r="A33" i="4"/>
  <c r="H32" i="4"/>
  <c r="D32" i="4"/>
  <c r="B32" i="4"/>
  <c r="A32" i="4"/>
  <c r="H31" i="4"/>
  <c r="B31" i="4"/>
  <c r="D31" i="4"/>
  <c r="A31" i="4"/>
  <c r="H30" i="4"/>
  <c r="D30" i="4"/>
  <c r="B30" i="4"/>
  <c r="A30" i="4"/>
  <c r="H29" i="4"/>
  <c r="B29" i="4"/>
  <c r="D29" i="4"/>
  <c r="A29" i="4"/>
  <c r="H28" i="4"/>
  <c r="D28" i="4"/>
  <c r="B28" i="4"/>
  <c r="A28" i="4"/>
  <c r="H27" i="4"/>
  <c r="B27" i="4"/>
  <c r="D27" i="4"/>
  <c r="A27" i="4"/>
  <c r="H26" i="4"/>
  <c r="D26" i="4"/>
  <c r="B26" i="4"/>
  <c r="A26" i="4"/>
  <c r="H45" i="4"/>
  <c r="B45" i="4"/>
  <c r="D45" i="4"/>
  <c r="A45" i="4"/>
  <c r="H25" i="4"/>
  <c r="D25" i="4"/>
  <c r="B25" i="4"/>
  <c r="A25" i="4"/>
  <c r="H24" i="4"/>
  <c r="B24" i="4"/>
  <c r="D24" i="4"/>
  <c r="A24" i="4"/>
  <c r="H23" i="4"/>
  <c r="D23" i="4"/>
  <c r="B23" i="4"/>
  <c r="A23" i="4"/>
  <c r="H22" i="4"/>
  <c r="B22" i="4"/>
  <c r="D22" i="4"/>
  <c r="A22" i="4"/>
  <c r="H21" i="4"/>
  <c r="D21" i="4"/>
  <c r="B21" i="4"/>
  <c r="A21" i="4"/>
  <c r="H20" i="4"/>
  <c r="B20" i="4"/>
  <c r="D20" i="4"/>
  <c r="A20" i="4"/>
  <c r="H19" i="4"/>
  <c r="D19" i="4"/>
  <c r="B19" i="4"/>
  <c r="A19" i="4"/>
  <c r="H18" i="4"/>
  <c r="B18" i="4"/>
  <c r="D18" i="4"/>
  <c r="A18" i="4"/>
  <c r="H17" i="4"/>
  <c r="D17" i="4"/>
  <c r="B17" i="4"/>
  <c r="A17" i="4"/>
  <c r="H16" i="4"/>
  <c r="B16" i="4"/>
  <c r="D16" i="4"/>
  <c r="A16" i="4"/>
  <c r="H15" i="4"/>
  <c r="D15" i="4"/>
  <c r="B15" i="4"/>
  <c r="A15" i="4"/>
  <c r="H14" i="4"/>
  <c r="B14" i="4"/>
  <c r="D14" i="4"/>
  <c r="A14" i="4"/>
  <c r="H13" i="4"/>
  <c r="D13" i="4"/>
  <c r="B13" i="4"/>
  <c r="A13" i="4"/>
  <c r="H12" i="4"/>
  <c r="B12" i="4"/>
  <c r="D12" i="4"/>
  <c r="A12" i="4"/>
  <c r="H11" i="4"/>
  <c r="D11" i="4"/>
  <c r="B11" i="4"/>
  <c r="A11" i="4"/>
  <c r="Q39" i="2"/>
  <c r="Q40" i="2"/>
  <c r="K41" i="2"/>
  <c r="Q41" i="2"/>
  <c r="Q42" i="2"/>
  <c r="Q43" i="2"/>
  <c r="Q44" i="2"/>
  <c r="Q36" i="2"/>
  <c r="Q57" i="2"/>
  <c r="Q56" i="2"/>
  <c r="Q55" i="2"/>
  <c r="Q54" i="2"/>
  <c r="Q53" i="2"/>
  <c r="Q35" i="2"/>
  <c r="Q24" i="2"/>
  <c r="F16" i="2"/>
  <c r="F17" i="2" s="1"/>
  <c r="C17" i="2"/>
  <c r="Q51" i="2"/>
  <c r="Q50" i="2"/>
  <c r="Q49" i="2"/>
  <c r="Q48" i="2"/>
  <c r="Q47" i="2"/>
  <c r="Q46" i="2"/>
  <c r="Q52" i="2"/>
  <c r="Q45" i="2"/>
  <c r="F33" i="3"/>
  <c r="G33" i="3"/>
  <c r="J33" i="3"/>
  <c r="F34" i="3"/>
  <c r="G34" i="3"/>
  <c r="J34" i="3"/>
  <c r="E21" i="3"/>
  <c r="F21" i="3"/>
  <c r="G21" i="3"/>
  <c r="E22" i="3"/>
  <c r="F22" i="3"/>
  <c r="G22" i="3"/>
  <c r="I22" i="3"/>
  <c r="E23" i="3"/>
  <c r="F23" i="3"/>
  <c r="G23" i="3"/>
  <c r="I23" i="3"/>
  <c r="E24" i="3"/>
  <c r="F24" i="3"/>
  <c r="G24" i="3"/>
  <c r="I24" i="3"/>
  <c r="E25" i="3"/>
  <c r="F25" i="3"/>
  <c r="G25" i="3"/>
  <c r="I25" i="3"/>
  <c r="E26" i="3"/>
  <c r="F26" i="3"/>
  <c r="G26" i="3"/>
  <c r="I26" i="3"/>
  <c r="E27" i="3"/>
  <c r="F27" i="3"/>
  <c r="G27" i="3"/>
  <c r="I27" i="3"/>
  <c r="E28" i="3"/>
  <c r="F28" i="3"/>
  <c r="G28" i="3"/>
  <c r="I28" i="3"/>
  <c r="E29" i="3"/>
  <c r="F29" i="3"/>
  <c r="G29" i="3"/>
  <c r="I29" i="3"/>
  <c r="E30" i="3"/>
  <c r="F30" i="3"/>
  <c r="G30" i="3"/>
  <c r="I30" i="3"/>
  <c r="E31" i="3"/>
  <c r="F31" i="3"/>
  <c r="G31" i="3"/>
  <c r="I31" i="3"/>
  <c r="E32" i="3"/>
  <c r="F32" i="3"/>
  <c r="G32" i="3"/>
  <c r="I32" i="3"/>
  <c r="E33" i="3"/>
  <c r="E34" i="3"/>
  <c r="C15" i="3"/>
  <c r="C18" i="3"/>
  <c r="C19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22" i="2"/>
  <c r="Q23" i="2"/>
  <c r="Q25" i="2"/>
  <c r="Q26" i="2"/>
  <c r="Q27" i="2"/>
  <c r="Q28" i="2"/>
  <c r="Q29" i="2"/>
  <c r="J30" i="2"/>
  <c r="Q30" i="2"/>
  <c r="Q31" i="2"/>
  <c r="Q32" i="2"/>
  <c r="Q33" i="2"/>
  <c r="Q34" i="2"/>
  <c r="Q37" i="2"/>
  <c r="Q38" i="2"/>
  <c r="Q34" i="1"/>
  <c r="E34" i="1"/>
  <c r="F34" i="1"/>
  <c r="G34" i="1"/>
  <c r="J34" i="1"/>
  <c r="Q33" i="1"/>
  <c r="E33" i="1"/>
  <c r="F33" i="1"/>
  <c r="G33" i="1"/>
  <c r="J33" i="1"/>
  <c r="C19" i="1"/>
  <c r="C15" i="1"/>
  <c r="E22" i="1"/>
  <c r="F22" i="1"/>
  <c r="G22" i="1"/>
  <c r="E23" i="1"/>
  <c r="F23" i="1"/>
  <c r="G23" i="1"/>
  <c r="I23" i="1"/>
  <c r="E24" i="1"/>
  <c r="F24" i="1"/>
  <c r="G24" i="1"/>
  <c r="I24" i="1"/>
  <c r="E25" i="1"/>
  <c r="F25" i="1"/>
  <c r="G25" i="1"/>
  <c r="E26" i="1"/>
  <c r="F26" i="1"/>
  <c r="G26" i="1"/>
  <c r="I26" i="1"/>
  <c r="E27" i="1"/>
  <c r="F27" i="1"/>
  <c r="G27" i="1"/>
  <c r="I27" i="1"/>
  <c r="E28" i="1"/>
  <c r="F28" i="1"/>
  <c r="G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21" i="1"/>
  <c r="F21" i="1"/>
  <c r="G21" i="1"/>
  <c r="I21" i="1"/>
  <c r="Q22" i="1"/>
  <c r="Q23" i="1"/>
  <c r="Q24" i="1"/>
  <c r="I25" i="1"/>
  <c r="Q25" i="1"/>
  <c r="Q26" i="1"/>
  <c r="Q27" i="1"/>
  <c r="I28" i="1"/>
  <c r="Q28" i="1"/>
  <c r="Q29" i="1"/>
  <c r="Q30" i="1"/>
  <c r="Q31" i="1"/>
  <c r="Q32" i="1"/>
  <c r="C18" i="1"/>
  <c r="Q21" i="1"/>
  <c r="C11" i="1"/>
  <c r="C12" i="1"/>
  <c r="C16" i="1"/>
  <c r="D18" i="1"/>
  <c r="I22" i="1"/>
  <c r="C11" i="3"/>
  <c r="C12" i="3"/>
  <c r="C16" i="3"/>
  <c r="D18" i="3"/>
  <c r="I21" i="3"/>
  <c r="E44" i="4"/>
  <c r="O21" i="3"/>
  <c r="O29" i="3"/>
  <c r="O24" i="3"/>
  <c r="O32" i="3"/>
  <c r="O27" i="3"/>
  <c r="O34" i="3"/>
  <c r="O22" i="3"/>
  <c r="O30" i="3"/>
  <c r="O31" i="3"/>
  <c r="O25" i="3"/>
  <c r="O33" i="3"/>
  <c r="O23" i="3"/>
  <c r="O28" i="3"/>
  <c r="O26" i="3"/>
  <c r="O28" i="1"/>
  <c r="O23" i="1"/>
  <c r="O31" i="1"/>
  <c r="O34" i="1"/>
  <c r="O33" i="1"/>
  <c r="O26" i="1"/>
  <c r="O29" i="1"/>
  <c r="O22" i="1"/>
  <c r="O30" i="1"/>
  <c r="O24" i="1"/>
  <c r="O32" i="1"/>
  <c r="O25" i="1"/>
  <c r="O27" i="1"/>
  <c r="O21" i="1"/>
  <c r="C12" i="2"/>
  <c r="C11" i="2"/>
  <c r="E21" i="4" l="1"/>
  <c r="E23" i="4"/>
  <c r="E15" i="4"/>
  <c r="E24" i="4"/>
  <c r="O21" i="2"/>
  <c r="O59" i="2"/>
  <c r="O32" i="2"/>
  <c r="O35" i="2"/>
  <c r="O58" i="2"/>
  <c r="O48" i="2"/>
  <c r="O45" i="2"/>
  <c r="O33" i="2"/>
  <c r="O53" i="2"/>
  <c r="O28" i="2"/>
  <c r="O60" i="2"/>
  <c r="O24" i="2"/>
  <c r="O41" i="2"/>
  <c r="O47" i="2"/>
  <c r="O22" i="2"/>
  <c r="O55" i="2"/>
  <c r="O46" i="2"/>
  <c r="O52" i="2"/>
  <c r="O25" i="2"/>
  <c r="O43" i="2"/>
  <c r="O54" i="2"/>
  <c r="O57" i="2"/>
  <c r="O56" i="2"/>
  <c r="O38" i="2"/>
  <c r="O31" i="2"/>
  <c r="O30" i="2"/>
  <c r="O36" i="2"/>
  <c r="O27" i="2"/>
  <c r="O44" i="2"/>
  <c r="C15" i="2"/>
  <c r="O39" i="2"/>
  <c r="O23" i="2"/>
  <c r="O40" i="2"/>
  <c r="O26" i="2"/>
  <c r="O29" i="2"/>
  <c r="O42" i="2"/>
  <c r="O34" i="2"/>
  <c r="O37" i="2"/>
  <c r="O49" i="2"/>
  <c r="O50" i="2"/>
  <c r="O51" i="2"/>
  <c r="C16" i="2"/>
  <c r="D18" i="2" s="1"/>
  <c r="C18" i="2" l="1"/>
  <c r="F18" i="2"/>
  <c r="F19" i="2" s="1"/>
</calcChain>
</file>

<file path=xl/sharedStrings.xml><?xml version="1.0" encoding="utf-8"?>
<sst xmlns="http://schemas.openxmlformats.org/spreadsheetml/2006/main" count="544" uniqueCount="209">
  <si>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</si>
  <si>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</si>
  <si>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</si>
  <si>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</si>
  <si>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</si>
  <si>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</si>
  <si>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</si>
  <si>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</si>
  <si>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</si>
  <si>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</si>
  <si>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</si>
  <si>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</si>
  <si>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</si>
  <si>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</si>
  <si>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</si>
  <si>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</si>
  <si>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</si>
  <si>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</si>
  <si>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</si>
  <si>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</si>
  <si>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</si>
  <si>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</si>
  <si>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</si>
  <si>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</si>
  <si>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</si>
  <si>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</si>
  <si>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</si>
  <si>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</si>
  <si>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</si>
  <si>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</si>
  <si>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</si>
  <si>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V345 Gem</t>
  </si>
  <si>
    <t>not avail.</t>
  </si>
  <si>
    <t>IBVS</t>
  </si>
  <si>
    <t>IBVS 5387</t>
  </si>
  <si>
    <t>II</t>
  </si>
  <si>
    <t>I</t>
  </si>
  <si>
    <t>Nelson</t>
  </si>
  <si>
    <t>RHN 2006</t>
  </si>
  <si>
    <t>IBVS 5672</t>
  </si>
  <si>
    <t>Misclassified as DSCTC: IBVS 5387</t>
  </si>
  <si>
    <t>EW</t>
  </si>
  <si>
    <t>See page B for correct cycle count</t>
  </si>
  <si>
    <t>Correct cycle count</t>
  </si>
  <si>
    <t>IBVS 5760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</si>
  <si>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</si>
  <si>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</si>
  <si>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</si>
  <si>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</si>
  <si>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</si>
  <si>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</si>
  <si>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5820</t>
  </si>
  <si>
    <t>IBVS 5887</t>
  </si>
  <si>
    <t>Start of linear fit &gt;&gt;&gt;&gt;&gt;&gt;&gt;&gt;&gt;&gt;&gt;&gt;&gt;&gt;&gt;&gt;&gt;&gt;&gt;&gt;&gt;</t>
  </si>
  <si>
    <t>IBVS 5929</t>
  </si>
  <si>
    <t>Add cycle</t>
  </si>
  <si>
    <t>Old Cycle</t>
  </si>
  <si>
    <t>IBVS 6048</t>
  </si>
  <si>
    <t>IBVS 6084</t>
  </si>
  <si>
    <t>V0345 Gem / GSC 2457-2115</t>
  </si>
  <si>
    <t>IBVS 5984</t>
  </si>
  <si>
    <t>2015-12-18 Checked by ToMcat</t>
  </si>
  <si>
    <t>IBVS 6153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</si>
  <si>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</si>
  <si>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</si>
  <si>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</si>
  <si>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</si>
  <si>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</si>
  <si>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</si>
  <si>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</si>
  <si>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</si>
  <si>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</si>
  <si>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</si>
  <si>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</si>
  <si>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2451185.3344 </t>
  </si>
  <si>
    <t> 06.01.1999 20:01 </t>
  </si>
  <si>
    <t> 0.0520 </t>
  </si>
  <si>
    <t>E </t>
  </si>
  <si>
    <t>B</t>
  </si>
  <si>
    <t> J.Gomez-Forr. et al. </t>
  </si>
  <si>
    <t>IBVS 5387 </t>
  </si>
  <si>
    <t>2451185.4730 </t>
  </si>
  <si>
    <t> 06.01.1999 23:21 </t>
  </si>
  <si>
    <t> 0.0532 </t>
  </si>
  <si>
    <t>2451186.4350 </t>
  </si>
  <si>
    <t> 07.01.1999 22:26 </t>
  </si>
  <si>
    <t> 0.0534 </t>
  </si>
  <si>
    <t>2451192.3396 </t>
  </si>
  <si>
    <t> 13.01.1999 20:09 </t>
  </si>
  <si>
    <t> 0.0503 </t>
  </si>
  <si>
    <t>2451192.4772 </t>
  </si>
  <si>
    <t> 13.01.1999 23:27 </t>
  </si>
  <si>
    <t> 0.0505 </t>
  </si>
  <si>
    <t>2451215.4217 </t>
  </si>
  <si>
    <t> 05.02.1999 22:07 </t>
  </si>
  <si>
    <t> 0.0510 </t>
  </si>
  <si>
    <t>G</t>
  </si>
  <si>
    <t>2451221.3292 </t>
  </si>
  <si>
    <t> 11.02.1999 19:54 </t>
  </si>
  <si>
    <t> 0.0508 </t>
  </si>
  <si>
    <t>2451222.4275 </t>
  </si>
  <si>
    <t> 12.02.1999 22:15 </t>
  </si>
  <si>
    <t> 0.0500 </t>
  </si>
  <si>
    <t>2451223.3904 </t>
  </si>
  <si>
    <t> 13.02.1999 21:22 </t>
  </si>
  <si>
    <t> 0.0512 </t>
  </si>
  <si>
    <t>2451226.4131 </t>
  </si>
  <si>
    <t> 16.02.1999 21:54 </t>
  </si>
  <si>
    <t> 0.0513 </t>
  </si>
  <si>
    <t>2451227.3723 </t>
  </si>
  <si>
    <t> 17.02.1999 20:56 </t>
  </si>
  <si>
    <t> 0.0488 </t>
  </si>
  <si>
    <t>2451258.4240 </t>
  </si>
  <si>
    <t> 20.03.1999 22:10 </t>
  </si>
  <si>
    <t>2453446.3120 </t>
  </si>
  <si>
    <t> 16.03.2005 19:29 </t>
  </si>
  <si>
    <t> 0.0163 </t>
  </si>
  <si>
    <t>C </t>
  </si>
  <si>
    <t>o</t>
  </si>
  <si>
    <t> U.Schmidt </t>
  </si>
  <si>
    <t>BAVM 215 </t>
  </si>
  <si>
    <t>BAVM 228 </t>
  </si>
  <si>
    <t>2453731.9423 </t>
  </si>
  <si>
    <t> 27.12.2005 10:36 </t>
  </si>
  <si>
    <t> 0.0146 </t>
  </si>
  <si>
    <t>?</t>
  </si>
  <si>
    <t> R. Nelson </t>
  </si>
  <si>
    <t>IBVS 5672 </t>
  </si>
  <si>
    <t>2454029.6759 </t>
  </si>
  <si>
    <t> 21.10.2006 04:13 </t>
  </si>
  <si>
    <t> 0.0259 </t>
  </si>
  <si>
    <t>R</t>
  </si>
  <si>
    <t>IBVS 5760 </t>
  </si>
  <si>
    <t>2454066.4769 </t>
  </si>
  <si>
    <t> 26.11.2006 23:26 </t>
  </si>
  <si>
    <t> 0.0066 </t>
  </si>
  <si>
    <t>BVRI</t>
  </si>
  <si>
    <t> M.Petropoulou et al. </t>
  </si>
  <si>
    <t>IBVS 6153 </t>
  </si>
  <si>
    <t>2454066.6150 </t>
  </si>
  <si>
    <t> 27.11.2006 02:45 </t>
  </si>
  <si>
    <t> 0.0073 </t>
  </si>
  <si>
    <t>2454067.4391 </t>
  </si>
  <si>
    <t> 27.11.2006 22:32 </t>
  </si>
  <si>
    <t> 0.0071 </t>
  </si>
  <si>
    <t>2454067.5761 </t>
  </si>
  <si>
    <t> 28.11.2006 01:49 </t>
  </si>
  <si>
    <t> 0.0067 </t>
  </si>
  <si>
    <t>2454068.5381 </t>
  </si>
  <si>
    <t> 29.11.2006 00:54 </t>
  </si>
  <si>
    <t> 0.0070 </t>
  </si>
  <si>
    <t>2454068.6748 </t>
  </si>
  <si>
    <t> 29.11.2006 04:11 </t>
  </si>
  <si>
    <t> 0.0063 </t>
  </si>
  <si>
    <t>2454155.6440 </t>
  </si>
  <si>
    <t> 24.02.2007 03:27 </t>
  </si>
  <si>
    <t> 0.0081 </t>
  </si>
  <si>
    <t> R.Nelson </t>
  </si>
  <si>
    <t>IBVS 5820 </t>
  </si>
  <si>
    <t>2454844.3680 </t>
  </si>
  <si>
    <t> 12.01.2009 20:49 </t>
  </si>
  <si>
    <t> 0.0003 </t>
  </si>
  <si>
    <t>m</t>
  </si>
  <si>
    <t> G.Gökay &amp; P.Oruç </t>
  </si>
  <si>
    <t>IBVS 5887 </t>
  </si>
  <si>
    <t>2454844.5029 </t>
  </si>
  <si>
    <t> 13.01.2009 00:04 </t>
  </si>
  <si>
    <t> -0.0022 </t>
  </si>
  <si>
    <t> S.Aydin &amp; T.Çakir </t>
  </si>
  <si>
    <t>2454845.4695 </t>
  </si>
  <si>
    <t> 13.01.2009 23:16 </t>
  </si>
  <si>
    <t> 0.0027 </t>
  </si>
  <si>
    <t>B;V</t>
  </si>
  <si>
    <t> M.Yilmaz &amp; M.Seki </t>
  </si>
  <si>
    <t>2454845.6031 </t>
  </si>
  <si>
    <t> 14.01.2009 02:28 </t>
  </si>
  <si>
    <t> -0.0011 </t>
  </si>
  <si>
    <t> S.Saydam &amp; B.Sivrilikaya </t>
  </si>
  <si>
    <t>2454851.5120 </t>
  </si>
  <si>
    <t> 20.01.2009 00:17 </t>
  </si>
  <si>
    <t> 0.0001 </t>
  </si>
  <si>
    <t> B.Savran &amp; H.Gürsoytrak </t>
  </si>
  <si>
    <t>2454851.6488 </t>
  </si>
  <si>
    <t> 20.01.2009 03:34 </t>
  </si>
  <si>
    <t> -0.0005 </t>
  </si>
  <si>
    <t> D.Bilgiç &amp; M.Seki </t>
  </si>
  <si>
    <t>2454862.638 </t>
  </si>
  <si>
    <t> 31.01.2009 03:18 </t>
  </si>
  <si>
    <t> -0.002 </t>
  </si>
  <si>
    <t>IBVS 5929 </t>
  </si>
  <si>
    <t>2456003.3805 </t>
  </si>
  <si>
    <t> 16.03.2012 21:07 </t>
  </si>
  <si>
    <t> -0.0020 </t>
  </si>
  <si>
    <t> P.Frank </t>
  </si>
  <si>
    <t>2456003.5134 </t>
  </si>
  <si>
    <t> 17.03.2012 00:19 </t>
  </si>
  <si>
    <t> -0.0065 </t>
  </si>
  <si>
    <t>2456014.3743 </t>
  </si>
  <si>
    <t> 27.03.2012 20:58 </t>
  </si>
  <si>
    <t> 0.0006 </t>
  </si>
  <si>
    <t>2456014.5182 </t>
  </si>
  <si>
    <t> 28.03.2012 00:26 </t>
  </si>
  <si>
    <t>2456355.3776 </t>
  </si>
  <si>
    <t> 03.03.2013 21:03 </t>
  </si>
  <si>
    <t> 0.0041 </t>
  </si>
  <si>
    <t>BAVM 232 </t>
  </si>
  <si>
    <t>IBVS 6209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</si>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</sst>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 Unicode MS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trike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6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/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7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5" fillId="0" borderId="0" xfId="0" applyFont="1" applyAlignment="1">
      <alignment horizontal="center"/>
    </xf>
    <xf numFmtId="22" fontId="14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/>
    <xf numFmtId="0" fontId="18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left" vertical="top"/>
    </xf>
    <xf numFmtId="0" fontId="19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left"/>
    </xf>
    <xf numFmtId="0" fontId="21" fillId="0" borderId="0" xfId="0" quotePrefix="1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4" fillId="24" borderId="17" xfId="38" applyFill="1" applyBorder="1" applyAlignment="1" applyProtection="1">
      <alignment horizontal="right" vertical="top" wrapText="1"/>
    </xf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40" fillId="0" borderId="0" xfId="42" applyFont="1" applyAlignment="1">
      <alignment wrapText="1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40" fillId="0" borderId="0" xfId="43" applyFont="1"/>
    <xf numFmtId="0" fontId="40" fillId="0" borderId="0" xfId="43" applyFont="1" applyAlignment="1">
      <alignment horizontal="center"/>
    </xf>
    <xf numFmtId="0" fontId="40" fillId="0" borderId="0" xfId="43" applyFont="1" applyAlignment="1">
      <alignment horizontal="left"/>
    </xf>
    <xf numFmtId="0" fontId="41" fillId="0" borderId="10" xfId="0" applyFont="1" applyBorder="1" applyAlignment="1">
      <alignment horizontal="center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V0345 Gem - O-C Diagr.</a:t>
            </a:r>
          </a:p>
        </c:rich>
      </c:tx>
      <c:layout>
        <c:manualLayout>
          <c:xMode val="edge"/>
          <c:yMode val="edge"/>
          <c:x val="0.36850895811936552"/>
          <c:y val="4.307854810831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76625204458139"/>
          <c:y val="0.15529191473017095"/>
          <c:w val="0.82646521358743197"/>
          <c:h val="0.5935836374111772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10272.5</c:v>
                </c:pt>
                <c:pt idx="2">
                  <c:v>10273</c:v>
                </c:pt>
                <c:pt idx="3">
                  <c:v>10273</c:v>
                </c:pt>
                <c:pt idx="4">
                  <c:v>10276.5</c:v>
                </c:pt>
                <c:pt idx="5">
                  <c:v>10298</c:v>
                </c:pt>
                <c:pt idx="6">
                  <c:v>10298.5</c:v>
                </c:pt>
                <c:pt idx="7">
                  <c:v>10382</c:v>
                </c:pt>
                <c:pt idx="8">
                  <c:v>10403.5</c:v>
                </c:pt>
                <c:pt idx="9">
                  <c:v>10407.5</c:v>
                </c:pt>
                <c:pt idx="10">
                  <c:v>10411</c:v>
                </c:pt>
                <c:pt idx="11">
                  <c:v>10422</c:v>
                </c:pt>
                <c:pt idx="12">
                  <c:v>10425.5</c:v>
                </c:pt>
                <c:pt idx="13">
                  <c:v>10538.5</c:v>
                </c:pt>
                <c:pt idx="14">
                  <c:v>18501</c:v>
                </c:pt>
                <c:pt idx="15">
                  <c:v>18501</c:v>
                </c:pt>
                <c:pt idx="16">
                  <c:v>19540.5</c:v>
                </c:pt>
                <c:pt idx="17">
                  <c:v>20624</c:v>
                </c:pt>
                <c:pt idx="18">
                  <c:v>20758</c:v>
                </c:pt>
                <c:pt idx="19">
                  <c:v>20758.5</c:v>
                </c:pt>
                <c:pt idx="20">
                  <c:v>20761.5</c:v>
                </c:pt>
                <c:pt idx="21">
                  <c:v>20762</c:v>
                </c:pt>
                <c:pt idx="22">
                  <c:v>20765.5</c:v>
                </c:pt>
                <c:pt idx="23">
                  <c:v>20766</c:v>
                </c:pt>
                <c:pt idx="24">
                  <c:v>21082.5</c:v>
                </c:pt>
                <c:pt idx="25">
                  <c:v>23589</c:v>
                </c:pt>
                <c:pt idx="26">
                  <c:v>23589.5</c:v>
                </c:pt>
                <c:pt idx="27">
                  <c:v>23593</c:v>
                </c:pt>
                <c:pt idx="28">
                  <c:v>23593.5</c:v>
                </c:pt>
                <c:pt idx="29">
                  <c:v>23615</c:v>
                </c:pt>
                <c:pt idx="30">
                  <c:v>23615.5</c:v>
                </c:pt>
                <c:pt idx="31">
                  <c:v>23655.5</c:v>
                </c:pt>
                <c:pt idx="32">
                  <c:v>27807</c:v>
                </c:pt>
                <c:pt idx="33">
                  <c:v>27807.5</c:v>
                </c:pt>
                <c:pt idx="34">
                  <c:v>27847</c:v>
                </c:pt>
                <c:pt idx="35">
                  <c:v>27847.5</c:v>
                </c:pt>
                <c:pt idx="36">
                  <c:v>29088</c:v>
                </c:pt>
                <c:pt idx="37">
                  <c:v>31672</c:v>
                </c:pt>
                <c:pt idx="38">
                  <c:v>31672</c:v>
                </c:pt>
                <c:pt idx="39">
                  <c:v>33969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56-44B0-83BE-3E0DF1FCB6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Active!$D$21:$D$1078</c:f>
                <c:numCache>
                  <c:formatCode>General</c:formatCode>
                  <c:ptCount val="1058"/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2.8E-3</c:v>
                  </c:pt>
                  <c:pt idx="15">
                    <c:v>2.8E-3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2.8E-3</c:v>
                  </c:pt>
                  <c:pt idx="34">
                    <c:v>2.0999999999999999E-3</c:v>
                  </c:pt>
                  <c:pt idx="35">
                    <c:v>2.8999999999999998E-3</c:v>
                  </c:pt>
                  <c:pt idx="36">
                    <c:v>2.5999999999999999E-3</c:v>
                  </c:pt>
                  <c:pt idx="37">
                    <c:v>5.9999999999999995E-4</c:v>
                  </c:pt>
                  <c:pt idx="38">
                    <c:v>6.9999999999999999E-4</c:v>
                  </c:pt>
                  <c:pt idx="39">
                    <c:v>1.9000000000000001E-4</c:v>
                  </c:pt>
                </c:numCache>
              </c:numRef>
            </c:plus>
            <c:minus>
              <c:numRef>
                <c:f>Active!$D$21:$D$1078</c:f>
                <c:numCache>
                  <c:formatCode>General</c:formatCode>
                  <c:ptCount val="1058"/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2.8E-3</c:v>
                  </c:pt>
                  <c:pt idx="15">
                    <c:v>2.8E-3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2.8E-3</c:v>
                  </c:pt>
                  <c:pt idx="34">
                    <c:v>2.0999999999999999E-3</c:v>
                  </c:pt>
                  <c:pt idx="35">
                    <c:v>2.8999999999999998E-3</c:v>
                  </c:pt>
                  <c:pt idx="36">
                    <c:v>2.5999999999999999E-3</c:v>
                  </c:pt>
                  <c:pt idx="37">
                    <c:v>5.9999999999999995E-4</c:v>
                  </c:pt>
                  <c:pt idx="38">
                    <c:v>6.9999999999999999E-4</c:v>
                  </c:pt>
                  <c:pt idx="39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10272.5</c:v>
                </c:pt>
                <c:pt idx="2">
                  <c:v>10273</c:v>
                </c:pt>
                <c:pt idx="3">
                  <c:v>10273</c:v>
                </c:pt>
                <c:pt idx="4">
                  <c:v>10276.5</c:v>
                </c:pt>
                <c:pt idx="5">
                  <c:v>10298</c:v>
                </c:pt>
                <c:pt idx="6">
                  <c:v>10298.5</c:v>
                </c:pt>
                <c:pt idx="7">
                  <c:v>10382</c:v>
                </c:pt>
                <c:pt idx="8">
                  <c:v>10403.5</c:v>
                </c:pt>
                <c:pt idx="9">
                  <c:v>10407.5</c:v>
                </c:pt>
                <c:pt idx="10">
                  <c:v>10411</c:v>
                </c:pt>
                <c:pt idx="11">
                  <c:v>10422</c:v>
                </c:pt>
                <c:pt idx="12">
                  <c:v>10425.5</c:v>
                </c:pt>
                <c:pt idx="13">
                  <c:v>10538.5</c:v>
                </c:pt>
                <c:pt idx="14">
                  <c:v>18501</c:v>
                </c:pt>
                <c:pt idx="15">
                  <c:v>18501</c:v>
                </c:pt>
                <c:pt idx="16">
                  <c:v>19540.5</c:v>
                </c:pt>
                <c:pt idx="17">
                  <c:v>20624</c:v>
                </c:pt>
                <c:pt idx="18">
                  <c:v>20758</c:v>
                </c:pt>
                <c:pt idx="19">
                  <c:v>20758.5</c:v>
                </c:pt>
                <c:pt idx="20">
                  <c:v>20761.5</c:v>
                </c:pt>
                <c:pt idx="21">
                  <c:v>20762</c:v>
                </c:pt>
                <c:pt idx="22">
                  <c:v>20765.5</c:v>
                </c:pt>
                <c:pt idx="23">
                  <c:v>20766</c:v>
                </c:pt>
                <c:pt idx="24">
                  <c:v>21082.5</c:v>
                </c:pt>
                <c:pt idx="25">
                  <c:v>23589</c:v>
                </c:pt>
                <c:pt idx="26">
                  <c:v>23589.5</c:v>
                </c:pt>
                <c:pt idx="27">
                  <c:v>23593</c:v>
                </c:pt>
                <c:pt idx="28">
                  <c:v>23593.5</c:v>
                </c:pt>
                <c:pt idx="29">
                  <c:v>23615</c:v>
                </c:pt>
                <c:pt idx="30">
                  <c:v>23615.5</c:v>
                </c:pt>
                <c:pt idx="31">
                  <c:v>23655.5</c:v>
                </c:pt>
                <c:pt idx="32">
                  <c:v>27807</c:v>
                </c:pt>
                <c:pt idx="33">
                  <c:v>27807.5</c:v>
                </c:pt>
                <c:pt idx="34">
                  <c:v>27847</c:v>
                </c:pt>
                <c:pt idx="35">
                  <c:v>27847.5</c:v>
                </c:pt>
                <c:pt idx="36">
                  <c:v>29088</c:v>
                </c:pt>
                <c:pt idx="37">
                  <c:v>31672</c:v>
                </c:pt>
                <c:pt idx="38">
                  <c:v>31672</c:v>
                </c:pt>
                <c:pt idx="39">
                  <c:v>33969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56-44B0-83BE-3E0DF1FCB6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2.8E-3</c:v>
                  </c:pt>
                  <c:pt idx="15">
                    <c:v>2.8E-3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2.8E-3</c:v>
                  </c:pt>
                  <c:pt idx="15">
                    <c:v>2.8E-3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10272.5</c:v>
                </c:pt>
                <c:pt idx="2">
                  <c:v>10273</c:v>
                </c:pt>
                <c:pt idx="3">
                  <c:v>10273</c:v>
                </c:pt>
                <c:pt idx="4">
                  <c:v>10276.5</c:v>
                </c:pt>
                <c:pt idx="5">
                  <c:v>10298</c:v>
                </c:pt>
                <c:pt idx="6">
                  <c:v>10298.5</c:v>
                </c:pt>
                <c:pt idx="7">
                  <c:v>10382</c:v>
                </c:pt>
                <c:pt idx="8">
                  <c:v>10403.5</c:v>
                </c:pt>
                <c:pt idx="9">
                  <c:v>10407.5</c:v>
                </c:pt>
                <c:pt idx="10">
                  <c:v>10411</c:v>
                </c:pt>
                <c:pt idx="11">
                  <c:v>10422</c:v>
                </c:pt>
                <c:pt idx="12">
                  <c:v>10425.5</c:v>
                </c:pt>
                <c:pt idx="13">
                  <c:v>10538.5</c:v>
                </c:pt>
                <c:pt idx="14">
                  <c:v>18501</c:v>
                </c:pt>
                <c:pt idx="15">
                  <c:v>18501</c:v>
                </c:pt>
                <c:pt idx="16">
                  <c:v>19540.5</c:v>
                </c:pt>
                <c:pt idx="17">
                  <c:v>20624</c:v>
                </c:pt>
                <c:pt idx="18">
                  <c:v>20758</c:v>
                </c:pt>
                <c:pt idx="19">
                  <c:v>20758.5</c:v>
                </c:pt>
                <c:pt idx="20">
                  <c:v>20761.5</c:v>
                </c:pt>
                <c:pt idx="21">
                  <c:v>20762</c:v>
                </c:pt>
                <c:pt idx="22">
                  <c:v>20765.5</c:v>
                </c:pt>
                <c:pt idx="23">
                  <c:v>20766</c:v>
                </c:pt>
                <c:pt idx="24">
                  <c:v>21082.5</c:v>
                </c:pt>
                <c:pt idx="25">
                  <c:v>23589</c:v>
                </c:pt>
                <c:pt idx="26">
                  <c:v>23589.5</c:v>
                </c:pt>
                <c:pt idx="27">
                  <c:v>23593</c:v>
                </c:pt>
                <c:pt idx="28">
                  <c:v>23593.5</c:v>
                </c:pt>
                <c:pt idx="29">
                  <c:v>23615</c:v>
                </c:pt>
                <c:pt idx="30">
                  <c:v>23615.5</c:v>
                </c:pt>
                <c:pt idx="31">
                  <c:v>23655.5</c:v>
                </c:pt>
                <c:pt idx="32">
                  <c:v>27807</c:v>
                </c:pt>
                <c:pt idx="33">
                  <c:v>27807.5</c:v>
                </c:pt>
                <c:pt idx="34">
                  <c:v>27847</c:v>
                </c:pt>
                <c:pt idx="35">
                  <c:v>27847.5</c:v>
                </c:pt>
                <c:pt idx="36">
                  <c:v>29088</c:v>
                </c:pt>
                <c:pt idx="37">
                  <c:v>31672</c:v>
                </c:pt>
                <c:pt idx="38">
                  <c:v>31672</c:v>
                </c:pt>
                <c:pt idx="39">
                  <c:v>33969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">
                  <c:v>1.9400000019231811E-4</c:v>
                </c:pt>
                <c:pt idx="2">
                  <c:v>1.4071999976295047E-3</c:v>
                </c:pt>
                <c:pt idx="3">
                  <c:v>1.4071999976295047E-3</c:v>
                </c:pt>
                <c:pt idx="4">
                  <c:v>1.6995999976643361E-3</c:v>
                </c:pt>
                <c:pt idx="5">
                  <c:v>-1.3327999986358918E-3</c:v>
                </c:pt>
                <c:pt idx="6">
                  <c:v>-1.1195999977644533E-3</c:v>
                </c:pt>
                <c:pt idx="7">
                  <c:v>-2.1520000154851004E-4</c:v>
                </c:pt>
                <c:pt idx="8">
                  <c:v>-3.4759999834932387E-4</c:v>
                </c:pt>
                <c:pt idx="9">
                  <c:v>-1.1420000009820797E-3</c:v>
                </c:pt>
                <c:pt idx="10">
                  <c:v>5.0399998144712299E-5</c:v>
                </c:pt>
                <c:pt idx="11">
                  <c:v>2.4080000002868474E-4</c:v>
                </c:pt>
                <c:pt idx="12">
                  <c:v>-2.2667999946861528E-3</c:v>
                </c:pt>
                <c:pt idx="13">
                  <c:v>1.6400001186411828E-5</c:v>
                </c:pt>
                <c:pt idx="14">
                  <c:v>3.2263999964925461E-3</c:v>
                </c:pt>
                <c:pt idx="15">
                  <c:v>3.2263999964925461E-3</c:v>
                </c:pt>
                <c:pt idx="25">
                  <c:v>1.1149600002681836E-2</c:v>
                </c:pt>
                <c:pt idx="26">
                  <c:v>8.6627999990014359E-3</c:v>
                </c:pt>
                <c:pt idx="27">
                  <c:v>1.3555199999245815E-2</c:v>
                </c:pt>
                <c:pt idx="28">
                  <c:v>9.7683999993023463E-3</c:v>
                </c:pt>
                <c:pt idx="29">
                  <c:v>1.1036000003514346E-2</c:v>
                </c:pt>
                <c:pt idx="30">
                  <c:v>1.0449200002767611E-2</c:v>
                </c:pt>
                <c:pt idx="32">
                  <c:v>2.8604799997992814E-2</c:v>
                </c:pt>
                <c:pt idx="33">
                  <c:v>2.4118000008456875E-2</c:v>
                </c:pt>
                <c:pt idx="34">
                  <c:v>3.1460800004424527E-2</c:v>
                </c:pt>
                <c:pt idx="35">
                  <c:v>3.7973999998939689E-2</c:v>
                </c:pt>
                <c:pt idx="36">
                  <c:v>4.0723199999774806E-2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56-44B0-83BE-3E0DF1FCB6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10272.5</c:v>
                </c:pt>
                <c:pt idx="2">
                  <c:v>10273</c:v>
                </c:pt>
                <c:pt idx="3">
                  <c:v>10273</c:v>
                </c:pt>
                <c:pt idx="4">
                  <c:v>10276.5</c:v>
                </c:pt>
                <c:pt idx="5">
                  <c:v>10298</c:v>
                </c:pt>
                <c:pt idx="6">
                  <c:v>10298.5</c:v>
                </c:pt>
                <c:pt idx="7">
                  <c:v>10382</c:v>
                </c:pt>
                <c:pt idx="8">
                  <c:v>10403.5</c:v>
                </c:pt>
                <c:pt idx="9">
                  <c:v>10407.5</c:v>
                </c:pt>
                <c:pt idx="10">
                  <c:v>10411</c:v>
                </c:pt>
                <c:pt idx="11">
                  <c:v>10422</c:v>
                </c:pt>
                <c:pt idx="12">
                  <c:v>10425.5</c:v>
                </c:pt>
                <c:pt idx="13">
                  <c:v>10538.5</c:v>
                </c:pt>
                <c:pt idx="14">
                  <c:v>18501</c:v>
                </c:pt>
                <c:pt idx="15">
                  <c:v>18501</c:v>
                </c:pt>
                <c:pt idx="16">
                  <c:v>19540.5</c:v>
                </c:pt>
                <c:pt idx="17">
                  <c:v>20624</c:v>
                </c:pt>
                <c:pt idx="18">
                  <c:v>20758</c:v>
                </c:pt>
                <c:pt idx="19">
                  <c:v>20758.5</c:v>
                </c:pt>
                <c:pt idx="20">
                  <c:v>20761.5</c:v>
                </c:pt>
                <c:pt idx="21">
                  <c:v>20762</c:v>
                </c:pt>
                <c:pt idx="22">
                  <c:v>20765.5</c:v>
                </c:pt>
                <c:pt idx="23">
                  <c:v>20766</c:v>
                </c:pt>
                <c:pt idx="24">
                  <c:v>21082.5</c:v>
                </c:pt>
                <c:pt idx="25">
                  <c:v>23589</c:v>
                </c:pt>
                <c:pt idx="26">
                  <c:v>23589.5</c:v>
                </c:pt>
                <c:pt idx="27">
                  <c:v>23593</c:v>
                </c:pt>
                <c:pt idx="28">
                  <c:v>23593.5</c:v>
                </c:pt>
                <c:pt idx="29">
                  <c:v>23615</c:v>
                </c:pt>
                <c:pt idx="30">
                  <c:v>23615.5</c:v>
                </c:pt>
                <c:pt idx="31">
                  <c:v>23655.5</c:v>
                </c:pt>
                <c:pt idx="32">
                  <c:v>27807</c:v>
                </c:pt>
                <c:pt idx="33">
                  <c:v>27807.5</c:v>
                </c:pt>
                <c:pt idx="34">
                  <c:v>27847</c:v>
                </c:pt>
                <c:pt idx="35">
                  <c:v>27847.5</c:v>
                </c:pt>
                <c:pt idx="36">
                  <c:v>29088</c:v>
                </c:pt>
                <c:pt idx="37">
                  <c:v>31672</c:v>
                </c:pt>
                <c:pt idx="38">
                  <c:v>31672</c:v>
                </c:pt>
                <c:pt idx="39">
                  <c:v>33969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0</c:v>
                </c:pt>
                <c:pt idx="16">
                  <c:v>6.369200003973674E-3</c:v>
                </c:pt>
                <c:pt idx="17">
                  <c:v>2.2573599999304861E-2</c:v>
                </c:pt>
                <c:pt idx="18">
                  <c:v>4.1112000035354868E-3</c:v>
                </c:pt>
                <c:pt idx="19">
                  <c:v>4.8243999990518205E-3</c:v>
                </c:pt>
                <c:pt idx="20">
                  <c:v>4.6036000057938509E-3</c:v>
                </c:pt>
                <c:pt idx="21">
                  <c:v>4.2167999999946915E-3</c:v>
                </c:pt>
                <c:pt idx="22">
                  <c:v>4.5092000000295229E-3</c:v>
                </c:pt>
                <c:pt idx="23">
                  <c:v>3.822400001809001E-3</c:v>
                </c:pt>
                <c:pt idx="24">
                  <c:v>7.1779999998398125E-3</c:v>
                </c:pt>
                <c:pt idx="31">
                  <c:v>8.7052000017138198E-3</c:v>
                </c:pt>
                <c:pt idx="37">
                  <c:v>5.50808001353289E-2</c:v>
                </c:pt>
                <c:pt idx="38">
                  <c:v>5.8380800001032185E-2</c:v>
                </c:pt>
                <c:pt idx="39">
                  <c:v>1.5251600001647603E-2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56-44B0-83BE-3E0DF1FCB6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10272.5</c:v>
                </c:pt>
                <c:pt idx="2">
                  <c:v>10273</c:v>
                </c:pt>
                <c:pt idx="3">
                  <c:v>10273</c:v>
                </c:pt>
                <c:pt idx="4">
                  <c:v>10276.5</c:v>
                </c:pt>
                <c:pt idx="5">
                  <c:v>10298</c:v>
                </c:pt>
                <c:pt idx="6">
                  <c:v>10298.5</c:v>
                </c:pt>
                <c:pt idx="7">
                  <c:v>10382</c:v>
                </c:pt>
                <c:pt idx="8">
                  <c:v>10403.5</c:v>
                </c:pt>
                <c:pt idx="9">
                  <c:v>10407.5</c:v>
                </c:pt>
                <c:pt idx="10">
                  <c:v>10411</c:v>
                </c:pt>
                <c:pt idx="11">
                  <c:v>10422</c:v>
                </c:pt>
                <c:pt idx="12">
                  <c:v>10425.5</c:v>
                </c:pt>
                <c:pt idx="13">
                  <c:v>10538.5</c:v>
                </c:pt>
                <c:pt idx="14">
                  <c:v>18501</c:v>
                </c:pt>
                <c:pt idx="15">
                  <c:v>18501</c:v>
                </c:pt>
                <c:pt idx="16">
                  <c:v>19540.5</c:v>
                </c:pt>
                <c:pt idx="17">
                  <c:v>20624</c:v>
                </c:pt>
                <c:pt idx="18">
                  <c:v>20758</c:v>
                </c:pt>
                <c:pt idx="19">
                  <c:v>20758.5</c:v>
                </c:pt>
                <c:pt idx="20">
                  <c:v>20761.5</c:v>
                </c:pt>
                <c:pt idx="21">
                  <c:v>20762</c:v>
                </c:pt>
                <c:pt idx="22">
                  <c:v>20765.5</c:v>
                </c:pt>
                <c:pt idx="23">
                  <c:v>20766</c:v>
                </c:pt>
                <c:pt idx="24">
                  <c:v>21082.5</c:v>
                </c:pt>
                <c:pt idx="25">
                  <c:v>23589</c:v>
                </c:pt>
                <c:pt idx="26">
                  <c:v>23589.5</c:v>
                </c:pt>
                <c:pt idx="27">
                  <c:v>23593</c:v>
                </c:pt>
                <c:pt idx="28">
                  <c:v>23593.5</c:v>
                </c:pt>
                <c:pt idx="29">
                  <c:v>23615</c:v>
                </c:pt>
                <c:pt idx="30">
                  <c:v>23615.5</c:v>
                </c:pt>
                <c:pt idx="31">
                  <c:v>23655.5</c:v>
                </c:pt>
                <c:pt idx="32">
                  <c:v>27807</c:v>
                </c:pt>
                <c:pt idx="33">
                  <c:v>27807.5</c:v>
                </c:pt>
                <c:pt idx="34">
                  <c:v>27847</c:v>
                </c:pt>
                <c:pt idx="35">
                  <c:v>27847.5</c:v>
                </c:pt>
                <c:pt idx="36">
                  <c:v>29088</c:v>
                </c:pt>
                <c:pt idx="37">
                  <c:v>31672</c:v>
                </c:pt>
                <c:pt idx="38">
                  <c:v>31672</c:v>
                </c:pt>
                <c:pt idx="39">
                  <c:v>33969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56-44B0-83BE-3E0DF1FCB6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10272.5</c:v>
                </c:pt>
                <c:pt idx="2">
                  <c:v>10273</c:v>
                </c:pt>
                <c:pt idx="3">
                  <c:v>10273</c:v>
                </c:pt>
                <c:pt idx="4">
                  <c:v>10276.5</c:v>
                </c:pt>
                <c:pt idx="5">
                  <c:v>10298</c:v>
                </c:pt>
                <c:pt idx="6">
                  <c:v>10298.5</c:v>
                </c:pt>
                <c:pt idx="7">
                  <c:v>10382</c:v>
                </c:pt>
                <c:pt idx="8">
                  <c:v>10403.5</c:v>
                </c:pt>
                <c:pt idx="9">
                  <c:v>10407.5</c:v>
                </c:pt>
                <c:pt idx="10">
                  <c:v>10411</c:v>
                </c:pt>
                <c:pt idx="11">
                  <c:v>10422</c:v>
                </c:pt>
                <c:pt idx="12">
                  <c:v>10425.5</c:v>
                </c:pt>
                <c:pt idx="13">
                  <c:v>10538.5</c:v>
                </c:pt>
                <c:pt idx="14">
                  <c:v>18501</c:v>
                </c:pt>
                <c:pt idx="15">
                  <c:v>18501</c:v>
                </c:pt>
                <c:pt idx="16">
                  <c:v>19540.5</c:v>
                </c:pt>
                <c:pt idx="17">
                  <c:v>20624</c:v>
                </c:pt>
                <c:pt idx="18">
                  <c:v>20758</c:v>
                </c:pt>
                <c:pt idx="19">
                  <c:v>20758.5</c:v>
                </c:pt>
                <c:pt idx="20">
                  <c:v>20761.5</c:v>
                </c:pt>
                <c:pt idx="21">
                  <c:v>20762</c:v>
                </c:pt>
                <c:pt idx="22">
                  <c:v>20765.5</c:v>
                </c:pt>
                <c:pt idx="23">
                  <c:v>20766</c:v>
                </c:pt>
                <c:pt idx="24">
                  <c:v>21082.5</c:v>
                </c:pt>
                <c:pt idx="25">
                  <c:v>23589</c:v>
                </c:pt>
                <c:pt idx="26">
                  <c:v>23589.5</c:v>
                </c:pt>
                <c:pt idx="27">
                  <c:v>23593</c:v>
                </c:pt>
                <c:pt idx="28">
                  <c:v>23593.5</c:v>
                </c:pt>
                <c:pt idx="29">
                  <c:v>23615</c:v>
                </c:pt>
                <c:pt idx="30">
                  <c:v>23615.5</c:v>
                </c:pt>
                <c:pt idx="31">
                  <c:v>23655.5</c:v>
                </c:pt>
                <c:pt idx="32">
                  <c:v>27807</c:v>
                </c:pt>
                <c:pt idx="33">
                  <c:v>27807.5</c:v>
                </c:pt>
                <c:pt idx="34">
                  <c:v>27847</c:v>
                </c:pt>
                <c:pt idx="35">
                  <c:v>27847.5</c:v>
                </c:pt>
                <c:pt idx="36">
                  <c:v>29088</c:v>
                </c:pt>
                <c:pt idx="37">
                  <c:v>31672</c:v>
                </c:pt>
                <c:pt idx="38">
                  <c:v>31672</c:v>
                </c:pt>
                <c:pt idx="39">
                  <c:v>33969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56-44B0-83BE-3E0DF1FCB6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10272.5</c:v>
                </c:pt>
                <c:pt idx="2">
                  <c:v>10273</c:v>
                </c:pt>
                <c:pt idx="3">
                  <c:v>10273</c:v>
                </c:pt>
                <c:pt idx="4">
                  <c:v>10276.5</c:v>
                </c:pt>
                <c:pt idx="5">
                  <c:v>10298</c:v>
                </c:pt>
                <c:pt idx="6">
                  <c:v>10298.5</c:v>
                </c:pt>
                <c:pt idx="7">
                  <c:v>10382</c:v>
                </c:pt>
                <c:pt idx="8">
                  <c:v>10403.5</c:v>
                </c:pt>
                <c:pt idx="9">
                  <c:v>10407.5</c:v>
                </c:pt>
                <c:pt idx="10">
                  <c:v>10411</c:v>
                </c:pt>
                <c:pt idx="11">
                  <c:v>10422</c:v>
                </c:pt>
                <c:pt idx="12">
                  <c:v>10425.5</c:v>
                </c:pt>
                <c:pt idx="13">
                  <c:v>10538.5</c:v>
                </c:pt>
                <c:pt idx="14">
                  <c:v>18501</c:v>
                </c:pt>
                <c:pt idx="15">
                  <c:v>18501</c:v>
                </c:pt>
                <c:pt idx="16">
                  <c:v>19540.5</c:v>
                </c:pt>
                <c:pt idx="17">
                  <c:v>20624</c:v>
                </c:pt>
                <c:pt idx="18">
                  <c:v>20758</c:v>
                </c:pt>
                <c:pt idx="19">
                  <c:v>20758.5</c:v>
                </c:pt>
                <c:pt idx="20">
                  <c:v>20761.5</c:v>
                </c:pt>
                <c:pt idx="21">
                  <c:v>20762</c:v>
                </c:pt>
                <c:pt idx="22">
                  <c:v>20765.5</c:v>
                </c:pt>
                <c:pt idx="23">
                  <c:v>20766</c:v>
                </c:pt>
                <c:pt idx="24">
                  <c:v>21082.5</c:v>
                </c:pt>
                <c:pt idx="25">
                  <c:v>23589</c:v>
                </c:pt>
                <c:pt idx="26">
                  <c:v>23589.5</c:v>
                </c:pt>
                <c:pt idx="27">
                  <c:v>23593</c:v>
                </c:pt>
                <c:pt idx="28">
                  <c:v>23593.5</c:v>
                </c:pt>
                <c:pt idx="29">
                  <c:v>23615</c:v>
                </c:pt>
                <c:pt idx="30">
                  <c:v>23615.5</c:v>
                </c:pt>
                <c:pt idx="31">
                  <c:v>23655.5</c:v>
                </c:pt>
                <c:pt idx="32">
                  <c:v>27807</c:v>
                </c:pt>
                <c:pt idx="33">
                  <c:v>27807.5</c:v>
                </c:pt>
                <c:pt idx="34">
                  <c:v>27847</c:v>
                </c:pt>
                <c:pt idx="35">
                  <c:v>27847.5</c:v>
                </c:pt>
                <c:pt idx="36">
                  <c:v>29088</c:v>
                </c:pt>
                <c:pt idx="37">
                  <c:v>31672</c:v>
                </c:pt>
                <c:pt idx="38">
                  <c:v>31672</c:v>
                </c:pt>
                <c:pt idx="39">
                  <c:v>33969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56-44B0-83BE-3E0DF1FCB6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10272.5</c:v>
                </c:pt>
                <c:pt idx="2">
                  <c:v>10273</c:v>
                </c:pt>
                <c:pt idx="3">
                  <c:v>10273</c:v>
                </c:pt>
                <c:pt idx="4">
                  <c:v>10276.5</c:v>
                </c:pt>
                <c:pt idx="5">
                  <c:v>10298</c:v>
                </c:pt>
                <c:pt idx="6">
                  <c:v>10298.5</c:v>
                </c:pt>
                <c:pt idx="7">
                  <c:v>10382</c:v>
                </c:pt>
                <c:pt idx="8">
                  <c:v>10403.5</c:v>
                </c:pt>
                <c:pt idx="9">
                  <c:v>10407.5</c:v>
                </c:pt>
                <c:pt idx="10">
                  <c:v>10411</c:v>
                </c:pt>
                <c:pt idx="11">
                  <c:v>10422</c:v>
                </c:pt>
                <c:pt idx="12">
                  <c:v>10425.5</c:v>
                </c:pt>
                <c:pt idx="13">
                  <c:v>10538.5</c:v>
                </c:pt>
                <c:pt idx="14">
                  <c:v>18501</c:v>
                </c:pt>
                <c:pt idx="15">
                  <c:v>18501</c:v>
                </c:pt>
                <c:pt idx="16">
                  <c:v>19540.5</c:v>
                </c:pt>
                <c:pt idx="17">
                  <c:v>20624</c:v>
                </c:pt>
                <c:pt idx="18">
                  <c:v>20758</c:v>
                </c:pt>
                <c:pt idx="19">
                  <c:v>20758.5</c:v>
                </c:pt>
                <c:pt idx="20">
                  <c:v>20761.5</c:v>
                </c:pt>
                <c:pt idx="21">
                  <c:v>20762</c:v>
                </c:pt>
                <c:pt idx="22">
                  <c:v>20765.5</c:v>
                </c:pt>
                <c:pt idx="23">
                  <c:v>20766</c:v>
                </c:pt>
                <c:pt idx="24">
                  <c:v>21082.5</c:v>
                </c:pt>
                <c:pt idx="25">
                  <c:v>23589</c:v>
                </c:pt>
                <c:pt idx="26">
                  <c:v>23589.5</c:v>
                </c:pt>
                <c:pt idx="27">
                  <c:v>23593</c:v>
                </c:pt>
                <c:pt idx="28">
                  <c:v>23593.5</c:v>
                </c:pt>
                <c:pt idx="29">
                  <c:v>23615</c:v>
                </c:pt>
                <c:pt idx="30">
                  <c:v>23615.5</c:v>
                </c:pt>
                <c:pt idx="31">
                  <c:v>23655.5</c:v>
                </c:pt>
                <c:pt idx="32">
                  <c:v>27807</c:v>
                </c:pt>
                <c:pt idx="33">
                  <c:v>27807.5</c:v>
                </c:pt>
                <c:pt idx="34">
                  <c:v>27847</c:v>
                </c:pt>
                <c:pt idx="35">
                  <c:v>27847.5</c:v>
                </c:pt>
                <c:pt idx="36">
                  <c:v>29088</c:v>
                </c:pt>
                <c:pt idx="37">
                  <c:v>31672</c:v>
                </c:pt>
                <c:pt idx="38">
                  <c:v>31672</c:v>
                </c:pt>
                <c:pt idx="39">
                  <c:v>33969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-1.6942230080689704E-2</c:v>
                </c:pt>
                <c:pt idx="1">
                  <c:v>-1.949966763702243E-3</c:v>
                </c:pt>
                <c:pt idx="2">
                  <c:v>-1.9492370356264579E-3</c:v>
                </c:pt>
                <c:pt idx="3">
                  <c:v>-1.9492370356264579E-3</c:v>
                </c:pt>
                <c:pt idx="4">
                  <c:v>-1.9441289390959692E-3</c:v>
                </c:pt>
                <c:pt idx="5">
                  <c:v>-1.9127506318372452E-3</c:v>
                </c:pt>
                <c:pt idx="6">
                  <c:v>-1.9120209037614619E-3</c:v>
                </c:pt>
                <c:pt idx="7">
                  <c:v>-1.7901563151054914E-3</c:v>
                </c:pt>
                <c:pt idx="8">
                  <c:v>-1.7587780078467691E-3</c:v>
                </c:pt>
                <c:pt idx="9">
                  <c:v>-1.7529401832404937E-3</c:v>
                </c:pt>
                <c:pt idx="10">
                  <c:v>-1.747832086710005E-3</c:v>
                </c:pt>
                <c:pt idx="11">
                  <c:v>-1.7317780690427505E-3</c:v>
                </c:pt>
                <c:pt idx="12">
                  <c:v>-1.7266699725122618E-3</c:v>
                </c:pt>
                <c:pt idx="13">
                  <c:v>-1.5617514273850198E-3</c:v>
                </c:pt>
                <c:pt idx="14">
                  <c:v>1.0059168179479196E-2</c:v>
                </c:pt>
                <c:pt idx="15">
                  <c:v>1.0059168179479196E-2</c:v>
                </c:pt>
                <c:pt idx="16">
                  <c:v>1.1576272849034657E-2</c:v>
                </c:pt>
                <c:pt idx="17">
                  <c:v>1.315759358925913E-2</c:v>
                </c:pt>
                <c:pt idx="18">
                  <c:v>1.3353160713569311E-2</c:v>
                </c:pt>
                <c:pt idx="19">
                  <c:v>1.3353890441645096E-2</c:v>
                </c:pt>
                <c:pt idx="20">
                  <c:v>1.3358268810099799E-2</c:v>
                </c:pt>
                <c:pt idx="21">
                  <c:v>1.3358998538175584E-2</c:v>
                </c:pt>
                <c:pt idx="22">
                  <c:v>1.3364106634706073E-2</c:v>
                </c:pt>
                <c:pt idx="23">
                  <c:v>1.3364836362781858E-2</c:v>
                </c:pt>
                <c:pt idx="24">
                  <c:v>1.382675423475329E-2</c:v>
                </c:pt>
                <c:pt idx="25">
                  <c:v>1.748488107865975E-2</c:v>
                </c:pt>
                <c:pt idx="26">
                  <c:v>1.7485610806735528E-2</c:v>
                </c:pt>
                <c:pt idx="27">
                  <c:v>1.7490718903266023E-2</c:v>
                </c:pt>
                <c:pt idx="28">
                  <c:v>1.7491448631341801E-2</c:v>
                </c:pt>
                <c:pt idx="29">
                  <c:v>1.7522826938600525E-2</c:v>
                </c:pt>
                <c:pt idx="30">
                  <c:v>1.7523556666676311E-2</c:v>
                </c:pt>
                <c:pt idx="31">
                  <c:v>1.7581934912739055E-2</c:v>
                </c:pt>
                <c:pt idx="32">
                  <c:v>2.3640867125975702E-2</c:v>
                </c:pt>
                <c:pt idx="33">
                  <c:v>2.364159685405148E-2</c:v>
                </c:pt>
                <c:pt idx="34">
                  <c:v>2.3699245372038439E-2</c:v>
                </c:pt>
                <c:pt idx="35">
                  <c:v>2.3699975100114224E-2</c:v>
                </c:pt>
                <c:pt idx="36">
                  <c:v>2.5510430456134953E-2</c:v>
                </c:pt>
                <c:pt idx="37">
                  <c:v>2.9281665151787966E-2</c:v>
                </c:pt>
                <c:pt idx="38">
                  <c:v>2.9281665151787966E-2</c:v>
                </c:pt>
                <c:pt idx="39">
                  <c:v>3.2634035931940822E-2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56-44B0-83BE-3E0DF1FCB6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10272.5</c:v>
                </c:pt>
                <c:pt idx="2">
                  <c:v>10273</c:v>
                </c:pt>
                <c:pt idx="3">
                  <c:v>10273</c:v>
                </c:pt>
                <c:pt idx="4">
                  <c:v>10276.5</c:v>
                </c:pt>
                <c:pt idx="5">
                  <c:v>10298</c:v>
                </c:pt>
                <c:pt idx="6">
                  <c:v>10298.5</c:v>
                </c:pt>
                <c:pt idx="7">
                  <c:v>10382</c:v>
                </c:pt>
                <c:pt idx="8">
                  <c:v>10403.5</c:v>
                </c:pt>
                <c:pt idx="9">
                  <c:v>10407.5</c:v>
                </c:pt>
                <c:pt idx="10">
                  <c:v>10411</c:v>
                </c:pt>
                <c:pt idx="11">
                  <c:v>10422</c:v>
                </c:pt>
                <c:pt idx="12">
                  <c:v>10425.5</c:v>
                </c:pt>
                <c:pt idx="13">
                  <c:v>10538.5</c:v>
                </c:pt>
                <c:pt idx="14">
                  <c:v>18501</c:v>
                </c:pt>
                <c:pt idx="15">
                  <c:v>18501</c:v>
                </c:pt>
                <c:pt idx="16">
                  <c:v>19540.5</c:v>
                </c:pt>
                <c:pt idx="17">
                  <c:v>20624</c:v>
                </c:pt>
                <c:pt idx="18">
                  <c:v>20758</c:v>
                </c:pt>
                <c:pt idx="19">
                  <c:v>20758.5</c:v>
                </c:pt>
                <c:pt idx="20">
                  <c:v>20761.5</c:v>
                </c:pt>
                <c:pt idx="21">
                  <c:v>20762</c:v>
                </c:pt>
                <c:pt idx="22">
                  <c:v>20765.5</c:v>
                </c:pt>
                <c:pt idx="23">
                  <c:v>20766</c:v>
                </c:pt>
                <c:pt idx="24">
                  <c:v>21082.5</c:v>
                </c:pt>
                <c:pt idx="25">
                  <c:v>23589</c:v>
                </c:pt>
                <c:pt idx="26">
                  <c:v>23589.5</c:v>
                </c:pt>
                <c:pt idx="27">
                  <c:v>23593</c:v>
                </c:pt>
                <c:pt idx="28">
                  <c:v>23593.5</c:v>
                </c:pt>
                <c:pt idx="29">
                  <c:v>23615</c:v>
                </c:pt>
                <c:pt idx="30">
                  <c:v>23615.5</c:v>
                </c:pt>
                <c:pt idx="31">
                  <c:v>23655.5</c:v>
                </c:pt>
                <c:pt idx="32">
                  <c:v>27807</c:v>
                </c:pt>
                <c:pt idx="33">
                  <c:v>27807.5</c:v>
                </c:pt>
                <c:pt idx="34">
                  <c:v>27847</c:v>
                </c:pt>
                <c:pt idx="35">
                  <c:v>27847.5</c:v>
                </c:pt>
                <c:pt idx="36">
                  <c:v>29088</c:v>
                </c:pt>
                <c:pt idx="37">
                  <c:v>31672</c:v>
                </c:pt>
                <c:pt idx="38">
                  <c:v>31672</c:v>
                </c:pt>
                <c:pt idx="39">
                  <c:v>33969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56-44B0-83BE-3E0DF1FCB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351824"/>
        <c:axId val="1"/>
      </c:scatterChart>
      <c:valAx>
        <c:axId val="596351824"/>
        <c:scaling>
          <c:orientation val="minMax"/>
          <c:max val="3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24337175244394"/>
              <c:y val="0.92206484860124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1042641408954321E-2"/>
              <c:y val="0.28912873695666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351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16656702241783"/>
          <c:y val="0.80792810959605654"/>
          <c:w val="0.78352248779887967"/>
          <c:h val="0.158536905447794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V0345 Gem - O-C Diagr.</a:t>
            </a:r>
          </a:p>
        </c:rich>
      </c:tx>
      <c:layout>
        <c:manualLayout>
          <c:xMode val="edge"/>
          <c:yMode val="edge"/>
          <c:x val="0.36692614322759881"/>
          <c:y val="4.3078444981611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0962078016109"/>
          <c:y val="0.14732243575935988"/>
          <c:w val="0.81181330594545242"/>
          <c:h val="0.61405675354410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10272.5</c:v>
                </c:pt>
                <c:pt idx="2">
                  <c:v>10273</c:v>
                </c:pt>
                <c:pt idx="3">
                  <c:v>10273</c:v>
                </c:pt>
                <c:pt idx="4">
                  <c:v>10276.5</c:v>
                </c:pt>
                <c:pt idx="5">
                  <c:v>10298</c:v>
                </c:pt>
                <c:pt idx="6">
                  <c:v>10298.5</c:v>
                </c:pt>
                <c:pt idx="7">
                  <c:v>10382</c:v>
                </c:pt>
                <c:pt idx="8">
                  <c:v>10403.5</c:v>
                </c:pt>
                <c:pt idx="9">
                  <c:v>10407.5</c:v>
                </c:pt>
                <c:pt idx="10">
                  <c:v>10411</c:v>
                </c:pt>
                <c:pt idx="11">
                  <c:v>10422</c:v>
                </c:pt>
                <c:pt idx="12">
                  <c:v>10425.5</c:v>
                </c:pt>
                <c:pt idx="13">
                  <c:v>10538.5</c:v>
                </c:pt>
                <c:pt idx="14">
                  <c:v>18501</c:v>
                </c:pt>
                <c:pt idx="15">
                  <c:v>18501</c:v>
                </c:pt>
                <c:pt idx="16">
                  <c:v>19540.5</c:v>
                </c:pt>
                <c:pt idx="17">
                  <c:v>20624</c:v>
                </c:pt>
                <c:pt idx="18">
                  <c:v>20758</c:v>
                </c:pt>
                <c:pt idx="19">
                  <c:v>20758.5</c:v>
                </c:pt>
                <c:pt idx="20">
                  <c:v>20761.5</c:v>
                </c:pt>
                <c:pt idx="21">
                  <c:v>20762</c:v>
                </c:pt>
                <c:pt idx="22">
                  <c:v>20765.5</c:v>
                </c:pt>
                <c:pt idx="23">
                  <c:v>20766</c:v>
                </c:pt>
                <c:pt idx="24">
                  <c:v>21082.5</c:v>
                </c:pt>
                <c:pt idx="25">
                  <c:v>23589</c:v>
                </c:pt>
                <c:pt idx="26">
                  <c:v>23589.5</c:v>
                </c:pt>
                <c:pt idx="27">
                  <c:v>23593</c:v>
                </c:pt>
                <c:pt idx="28">
                  <c:v>23593.5</c:v>
                </c:pt>
                <c:pt idx="29">
                  <c:v>23615</c:v>
                </c:pt>
                <c:pt idx="30">
                  <c:v>23615.5</c:v>
                </c:pt>
                <c:pt idx="31">
                  <c:v>23655.5</c:v>
                </c:pt>
                <c:pt idx="32">
                  <c:v>27807</c:v>
                </c:pt>
                <c:pt idx="33">
                  <c:v>27807.5</c:v>
                </c:pt>
                <c:pt idx="34">
                  <c:v>27847</c:v>
                </c:pt>
                <c:pt idx="35">
                  <c:v>27847.5</c:v>
                </c:pt>
                <c:pt idx="36">
                  <c:v>29088</c:v>
                </c:pt>
                <c:pt idx="37">
                  <c:v>31672</c:v>
                </c:pt>
                <c:pt idx="38">
                  <c:v>31672</c:v>
                </c:pt>
                <c:pt idx="39">
                  <c:v>33969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99-4B50-9EF6-9DB88FE9D5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Active!$D$21:$D$1078</c:f>
                <c:numCache>
                  <c:formatCode>General</c:formatCode>
                  <c:ptCount val="1058"/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2.8E-3</c:v>
                  </c:pt>
                  <c:pt idx="15">
                    <c:v>2.8E-3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2.8E-3</c:v>
                  </c:pt>
                  <c:pt idx="34">
                    <c:v>2.0999999999999999E-3</c:v>
                  </c:pt>
                  <c:pt idx="35">
                    <c:v>2.8999999999999998E-3</c:v>
                  </c:pt>
                  <c:pt idx="36">
                    <c:v>2.5999999999999999E-3</c:v>
                  </c:pt>
                  <c:pt idx="37">
                    <c:v>5.9999999999999995E-4</c:v>
                  </c:pt>
                  <c:pt idx="38">
                    <c:v>6.9999999999999999E-4</c:v>
                  </c:pt>
                  <c:pt idx="39">
                    <c:v>1.9000000000000001E-4</c:v>
                  </c:pt>
                </c:numCache>
              </c:numRef>
            </c:plus>
            <c:minus>
              <c:numRef>
                <c:f>Active!$D$21:$D$1078</c:f>
                <c:numCache>
                  <c:formatCode>General</c:formatCode>
                  <c:ptCount val="1058"/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2.8E-3</c:v>
                  </c:pt>
                  <c:pt idx="15">
                    <c:v>2.8E-3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2.8E-3</c:v>
                  </c:pt>
                  <c:pt idx="34">
                    <c:v>2.0999999999999999E-3</c:v>
                  </c:pt>
                  <c:pt idx="35">
                    <c:v>2.8999999999999998E-3</c:v>
                  </c:pt>
                  <c:pt idx="36">
                    <c:v>2.5999999999999999E-3</c:v>
                  </c:pt>
                  <c:pt idx="37">
                    <c:v>5.9999999999999995E-4</c:v>
                  </c:pt>
                  <c:pt idx="38">
                    <c:v>6.9999999999999999E-4</c:v>
                  </c:pt>
                  <c:pt idx="39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10272.5</c:v>
                </c:pt>
                <c:pt idx="2">
                  <c:v>10273</c:v>
                </c:pt>
                <c:pt idx="3">
                  <c:v>10273</c:v>
                </c:pt>
                <c:pt idx="4">
                  <c:v>10276.5</c:v>
                </c:pt>
                <c:pt idx="5">
                  <c:v>10298</c:v>
                </c:pt>
                <c:pt idx="6">
                  <c:v>10298.5</c:v>
                </c:pt>
                <c:pt idx="7">
                  <c:v>10382</c:v>
                </c:pt>
                <c:pt idx="8">
                  <c:v>10403.5</c:v>
                </c:pt>
                <c:pt idx="9">
                  <c:v>10407.5</c:v>
                </c:pt>
                <c:pt idx="10">
                  <c:v>10411</c:v>
                </c:pt>
                <c:pt idx="11">
                  <c:v>10422</c:v>
                </c:pt>
                <c:pt idx="12">
                  <c:v>10425.5</c:v>
                </c:pt>
                <c:pt idx="13">
                  <c:v>10538.5</c:v>
                </c:pt>
                <c:pt idx="14">
                  <c:v>18501</c:v>
                </c:pt>
                <c:pt idx="15">
                  <c:v>18501</c:v>
                </c:pt>
                <c:pt idx="16">
                  <c:v>19540.5</c:v>
                </c:pt>
                <c:pt idx="17">
                  <c:v>20624</c:v>
                </c:pt>
                <c:pt idx="18">
                  <c:v>20758</c:v>
                </c:pt>
                <c:pt idx="19">
                  <c:v>20758.5</c:v>
                </c:pt>
                <c:pt idx="20">
                  <c:v>20761.5</c:v>
                </c:pt>
                <c:pt idx="21">
                  <c:v>20762</c:v>
                </c:pt>
                <c:pt idx="22">
                  <c:v>20765.5</c:v>
                </c:pt>
                <c:pt idx="23">
                  <c:v>20766</c:v>
                </c:pt>
                <c:pt idx="24">
                  <c:v>21082.5</c:v>
                </c:pt>
                <c:pt idx="25">
                  <c:v>23589</c:v>
                </c:pt>
                <c:pt idx="26">
                  <c:v>23589.5</c:v>
                </c:pt>
                <c:pt idx="27">
                  <c:v>23593</c:v>
                </c:pt>
                <c:pt idx="28">
                  <c:v>23593.5</c:v>
                </c:pt>
                <c:pt idx="29">
                  <c:v>23615</c:v>
                </c:pt>
                <c:pt idx="30">
                  <c:v>23615.5</c:v>
                </c:pt>
                <c:pt idx="31">
                  <c:v>23655.5</c:v>
                </c:pt>
                <c:pt idx="32">
                  <c:v>27807</c:v>
                </c:pt>
                <c:pt idx="33">
                  <c:v>27807.5</c:v>
                </c:pt>
                <c:pt idx="34">
                  <c:v>27847</c:v>
                </c:pt>
                <c:pt idx="35">
                  <c:v>27847.5</c:v>
                </c:pt>
                <c:pt idx="36">
                  <c:v>29088</c:v>
                </c:pt>
                <c:pt idx="37">
                  <c:v>31672</c:v>
                </c:pt>
                <c:pt idx="38">
                  <c:v>31672</c:v>
                </c:pt>
                <c:pt idx="39">
                  <c:v>33969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99-4B50-9EF6-9DB88FE9D5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2.8E-3</c:v>
                  </c:pt>
                  <c:pt idx="15">
                    <c:v>2.8E-3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2.8E-3</c:v>
                  </c:pt>
                  <c:pt idx="15">
                    <c:v>2.8E-3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10272.5</c:v>
                </c:pt>
                <c:pt idx="2">
                  <c:v>10273</c:v>
                </c:pt>
                <c:pt idx="3">
                  <c:v>10273</c:v>
                </c:pt>
                <c:pt idx="4">
                  <c:v>10276.5</c:v>
                </c:pt>
                <c:pt idx="5">
                  <c:v>10298</c:v>
                </c:pt>
                <c:pt idx="6">
                  <c:v>10298.5</c:v>
                </c:pt>
                <c:pt idx="7">
                  <c:v>10382</c:v>
                </c:pt>
                <c:pt idx="8">
                  <c:v>10403.5</c:v>
                </c:pt>
                <c:pt idx="9">
                  <c:v>10407.5</c:v>
                </c:pt>
                <c:pt idx="10">
                  <c:v>10411</c:v>
                </c:pt>
                <c:pt idx="11">
                  <c:v>10422</c:v>
                </c:pt>
                <c:pt idx="12">
                  <c:v>10425.5</c:v>
                </c:pt>
                <c:pt idx="13">
                  <c:v>10538.5</c:v>
                </c:pt>
                <c:pt idx="14">
                  <c:v>18501</c:v>
                </c:pt>
                <c:pt idx="15">
                  <c:v>18501</c:v>
                </c:pt>
                <c:pt idx="16">
                  <c:v>19540.5</c:v>
                </c:pt>
                <c:pt idx="17">
                  <c:v>20624</c:v>
                </c:pt>
                <c:pt idx="18">
                  <c:v>20758</c:v>
                </c:pt>
                <c:pt idx="19">
                  <c:v>20758.5</c:v>
                </c:pt>
                <c:pt idx="20">
                  <c:v>20761.5</c:v>
                </c:pt>
                <c:pt idx="21">
                  <c:v>20762</c:v>
                </c:pt>
                <c:pt idx="22">
                  <c:v>20765.5</c:v>
                </c:pt>
                <c:pt idx="23">
                  <c:v>20766</c:v>
                </c:pt>
                <c:pt idx="24">
                  <c:v>21082.5</c:v>
                </c:pt>
                <c:pt idx="25">
                  <c:v>23589</c:v>
                </c:pt>
                <c:pt idx="26">
                  <c:v>23589.5</c:v>
                </c:pt>
                <c:pt idx="27">
                  <c:v>23593</c:v>
                </c:pt>
                <c:pt idx="28">
                  <c:v>23593.5</c:v>
                </c:pt>
                <c:pt idx="29">
                  <c:v>23615</c:v>
                </c:pt>
                <c:pt idx="30">
                  <c:v>23615.5</c:v>
                </c:pt>
                <c:pt idx="31">
                  <c:v>23655.5</c:v>
                </c:pt>
                <c:pt idx="32">
                  <c:v>27807</c:v>
                </c:pt>
                <c:pt idx="33">
                  <c:v>27807.5</c:v>
                </c:pt>
                <c:pt idx="34">
                  <c:v>27847</c:v>
                </c:pt>
                <c:pt idx="35">
                  <c:v>27847.5</c:v>
                </c:pt>
                <c:pt idx="36">
                  <c:v>29088</c:v>
                </c:pt>
                <c:pt idx="37">
                  <c:v>31672</c:v>
                </c:pt>
                <c:pt idx="38">
                  <c:v>31672</c:v>
                </c:pt>
                <c:pt idx="39">
                  <c:v>33969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">
                  <c:v>1.9400000019231811E-4</c:v>
                </c:pt>
                <c:pt idx="2">
                  <c:v>1.4071999976295047E-3</c:v>
                </c:pt>
                <c:pt idx="3">
                  <c:v>1.4071999976295047E-3</c:v>
                </c:pt>
                <c:pt idx="4">
                  <c:v>1.6995999976643361E-3</c:v>
                </c:pt>
                <c:pt idx="5">
                  <c:v>-1.3327999986358918E-3</c:v>
                </c:pt>
                <c:pt idx="6">
                  <c:v>-1.1195999977644533E-3</c:v>
                </c:pt>
                <c:pt idx="7">
                  <c:v>-2.1520000154851004E-4</c:v>
                </c:pt>
                <c:pt idx="8">
                  <c:v>-3.4759999834932387E-4</c:v>
                </c:pt>
                <c:pt idx="9">
                  <c:v>-1.1420000009820797E-3</c:v>
                </c:pt>
                <c:pt idx="10">
                  <c:v>5.0399998144712299E-5</c:v>
                </c:pt>
                <c:pt idx="11">
                  <c:v>2.4080000002868474E-4</c:v>
                </c:pt>
                <c:pt idx="12">
                  <c:v>-2.2667999946861528E-3</c:v>
                </c:pt>
                <c:pt idx="13">
                  <c:v>1.6400001186411828E-5</c:v>
                </c:pt>
                <c:pt idx="14">
                  <c:v>3.2263999964925461E-3</c:v>
                </c:pt>
                <c:pt idx="15">
                  <c:v>3.2263999964925461E-3</c:v>
                </c:pt>
                <c:pt idx="25">
                  <c:v>1.1149600002681836E-2</c:v>
                </c:pt>
                <c:pt idx="26">
                  <c:v>8.6627999990014359E-3</c:v>
                </c:pt>
                <c:pt idx="27">
                  <c:v>1.3555199999245815E-2</c:v>
                </c:pt>
                <c:pt idx="28">
                  <c:v>9.7683999993023463E-3</c:v>
                </c:pt>
                <c:pt idx="29">
                  <c:v>1.1036000003514346E-2</c:v>
                </c:pt>
                <c:pt idx="30">
                  <c:v>1.0449200002767611E-2</c:v>
                </c:pt>
                <c:pt idx="32">
                  <c:v>2.8604799997992814E-2</c:v>
                </c:pt>
                <c:pt idx="33">
                  <c:v>2.4118000008456875E-2</c:v>
                </c:pt>
                <c:pt idx="34">
                  <c:v>3.1460800004424527E-2</c:v>
                </c:pt>
                <c:pt idx="35">
                  <c:v>3.7973999998939689E-2</c:v>
                </c:pt>
                <c:pt idx="36">
                  <c:v>4.0723199999774806E-2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99-4B50-9EF6-9DB88FE9D5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10272.5</c:v>
                </c:pt>
                <c:pt idx="2">
                  <c:v>10273</c:v>
                </c:pt>
                <c:pt idx="3">
                  <c:v>10273</c:v>
                </c:pt>
                <c:pt idx="4">
                  <c:v>10276.5</c:v>
                </c:pt>
                <c:pt idx="5">
                  <c:v>10298</c:v>
                </c:pt>
                <c:pt idx="6">
                  <c:v>10298.5</c:v>
                </c:pt>
                <c:pt idx="7">
                  <c:v>10382</c:v>
                </c:pt>
                <c:pt idx="8">
                  <c:v>10403.5</c:v>
                </c:pt>
                <c:pt idx="9">
                  <c:v>10407.5</c:v>
                </c:pt>
                <c:pt idx="10">
                  <c:v>10411</c:v>
                </c:pt>
                <c:pt idx="11">
                  <c:v>10422</c:v>
                </c:pt>
                <c:pt idx="12">
                  <c:v>10425.5</c:v>
                </c:pt>
                <c:pt idx="13">
                  <c:v>10538.5</c:v>
                </c:pt>
                <c:pt idx="14">
                  <c:v>18501</c:v>
                </c:pt>
                <c:pt idx="15">
                  <c:v>18501</c:v>
                </c:pt>
                <c:pt idx="16">
                  <c:v>19540.5</c:v>
                </c:pt>
                <c:pt idx="17">
                  <c:v>20624</c:v>
                </c:pt>
                <c:pt idx="18">
                  <c:v>20758</c:v>
                </c:pt>
                <c:pt idx="19">
                  <c:v>20758.5</c:v>
                </c:pt>
                <c:pt idx="20">
                  <c:v>20761.5</c:v>
                </c:pt>
                <c:pt idx="21">
                  <c:v>20762</c:v>
                </c:pt>
                <c:pt idx="22">
                  <c:v>20765.5</c:v>
                </c:pt>
                <c:pt idx="23">
                  <c:v>20766</c:v>
                </c:pt>
                <c:pt idx="24">
                  <c:v>21082.5</c:v>
                </c:pt>
                <c:pt idx="25">
                  <c:v>23589</c:v>
                </c:pt>
                <c:pt idx="26">
                  <c:v>23589.5</c:v>
                </c:pt>
                <c:pt idx="27">
                  <c:v>23593</c:v>
                </c:pt>
                <c:pt idx="28">
                  <c:v>23593.5</c:v>
                </c:pt>
                <c:pt idx="29">
                  <c:v>23615</c:v>
                </c:pt>
                <c:pt idx="30">
                  <c:v>23615.5</c:v>
                </c:pt>
                <c:pt idx="31">
                  <c:v>23655.5</c:v>
                </c:pt>
                <c:pt idx="32">
                  <c:v>27807</c:v>
                </c:pt>
                <c:pt idx="33">
                  <c:v>27807.5</c:v>
                </c:pt>
                <c:pt idx="34">
                  <c:v>27847</c:v>
                </c:pt>
                <c:pt idx="35">
                  <c:v>27847.5</c:v>
                </c:pt>
                <c:pt idx="36">
                  <c:v>29088</c:v>
                </c:pt>
                <c:pt idx="37">
                  <c:v>31672</c:v>
                </c:pt>
                <c:pt idx="38">
                  <c:v>31672</c:v>
                </c:pt>
                <c:pt idx="39">
                  <c:v>33969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0</c:v>
                </c:pt>
                <c:pt idx="16">
                  <c:v>6.369200003973674E-3</c:v>
                </c:pt>
                <c:pt idx="17">
                  <c:v>2.2573599999304861E-2</c:v>
                </c:pt>
                <c:pt idx="18">
                  <c:v>4.1112000035354868E-3</c:v>
                </c:pt>
                <c:pt idx="19">
                  <c:v>4.8243999990518205E-3</c:v>
                </c:pt>
                <c:pt idx="20">
                  <c:v>4.6036000057938509E-3</c:v>
                </c:pt>
                <c:pt idx="21">
                  <c:v>4.2167999999946915E-3</c:v>
                </c:pt>
                <c:pt idx="22">
                  <c:v>4.5092000000295229E-3</c:v>
                </c:pt>
                <c:pt idx="23">
                  <c:v>3.822400001809001E-3</c:v>
                </c:pt>
                <c:pt idx="24">
                  <c:v>7.1779999998398125E-3</c:v>
                </c:pt>
                <c:pt idx="31">
                  <c:v>8.7052000017138198E-3</c:v>
                </c:pt>
                <c:pt idx="37">
                  <c:v>5.50808001353289E-2</c:v>
                </c:pt>
                <c:pt idx="38">
                  <c:v>5.8380800001032185E-2</c:v>
                </c:pt>
                <c:pt idx="39">
                  <c:v>1.5251600001647603E-2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99-4B50-9EF6-9DB88FE9D5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10272.5</c:v>
                </c:pt>
                <c:pt idx="2">
                  <c:v>10273</c:v>
                </c:pt>
                <c:pt idx="3">
                  <c:v>10273</c:v>
                </c:pt>
                <c:pt idx="4">
                  <c:v>10276.5</c:v>
                </c:pt>
                <c:pt idx="5">
                  <c:v>10298</c:v>
                </c:pt>
                <c:pt idx="6">
                  <c:v>10298.5</c:v>
                </c:pt>
                <c:pt idx="7">
                  <c:v>10382</c:v>
                </c:pt>
                <c:pt idx="8">
                  <c:v>10403.5</c:v>
                </c:pt>
                <c:pt idx="9">
                  <c:v>10407.5</c:v>
                </c:pt>
                <c:pt idx="10">
                  <c:v>10411</c:v>
                </c:pt>
                <c:pt idx="11">
                  <c:v>10422</c:v>
                </c:pt>
                <c:pt idx="12">
                  <c:v>10425.5</c:v>
                </c:pt>
                <c:pt idx="13">
                  <c:v>10538.5</c:v>
                </c:pt>
                <c:pt idx="14">
                  <c:v>18501</c:v>
                </c:pt>
                <c:pt idx="15">
                  <c:v>18501</c:v>
                </c:pt>
                <c:pt idx="16">
                  <c:v>19540.5</c:v>
                </c:pt>
                <c:pt idx="17">
                  <c:v>20624</c:v>
                </c:pt>
                <c:pt idx="18">
                  <c:v>20758</c:v>
                </c:pt>
                <c:pt idx="19">
                  <c:v>20758.5</c:v>
                </c:pt>
                <c:pt idx="20">
                  <c:v>20761.5</c:v>
                </c:pt>
                <c:pt idx="21">
                  <c:v>20762</c:v>
                </c:pt>
                <c:pt idx="22">
                  <c:v>20765.5</c:v>
                </c:pt>
                <c:pt idx="23">
                  <c:v>20766</c:v>
                </c:pt>
                <c:pt idx="24">
                  <c:v>21082.5</c:v>
                </c:pt>
                <c:pt idx="25">
                  <c:v>23589</c:v>
                </c:pt>
                <c:pt idx="26">
                  <c:v>23589.5</c:v>
                </c:pt>
                <c:pt idx="27">
                  <c:v>23593</c:v>
                </c:pt>
                <c:pt idx="28">
                  <c:v>23593.5</c:v>
                </c:pt>
                <c:pt idx="29">
                  <c:v>23615</c:v>
                </c:pt>
                <c:pt idx="30">
                  <c:v>23615.5</c:v>
                </c:pt>
                <c:pt idx="31">
                  <c:v>23655.5</c:v>
                </c:pt>
                <c:pt idx="32">
                  <c:v>27807</c:v>
                </c:pt>
                <c:pt idx="33">
                  <c:v>27807.5</c:v>
                </c:pt>
                <c:pt idx="34">
                  <c:v>27847</c:v>
                </c:pt>
                <c:pt idx="35">
                  <c:v>27847.5</c:v>
                </c:pt>
                <c:pt idx="36">
                  <c:v>29088</c:v>
                </c:pt>
                <c:pt idx="37">
                  <c:v>31672</c:v>
                </c:pt>
                <c:pt idx="38">
                  <c:v>31672</c:v>
                </c:pt>
                <c:pt idx="39">
                  <c:v>33969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99-4B50-9EF6-9DB88FE9D5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10272.5</c:v>
                </c:pt>
                <c:pt idx="2">
                  <c:v>10273</c:v>
                </c:pt>
                <c:pt idx="3">
                  <c:v>10273</c:v>
                </c:pt>
                <c:pt idx="4">
                  <c:v>10276.5</c:v>
                </c:pt>
                <c:pt idx="5">
                  <c:v>10298</c:v>
                </c:pt>
                <c:pt idx="6">
                  <c:v>10298.5</c:v>
                </c:pt>
                <c:pt idx="7">
                  <c:v>10382</c:v>
                </c:pt>
                <c:pt idx="8">
                  <c:v>10403.5</c:v>
                </c:pt>
                <c:pt idx="9">
                  <c:v>10407.5</c:v>
                </c:pt>
                <c:pt idx="10">
                  <c:v>10411</c:v>
                </c:pt>
                <c:pt idx="11">
                  <c:v>10422</c:v>
                </c:pt>
                <c:pt idx="12">
                  <c:v>10425.5</c:v>
                </c:pt>
                <c:pt idx="13">
                  <c:v>10538.5</c:v>
                </c:pt>
                <c:pt idx="14">
                  <c:v>18501</c:v>
                </c:pt>
                <c:pt idx="15">
                  <c:v>18501</c:v>
                </c:pt>
                <c:pt idx="16">
                  <c:v>19540.5</c:v>
                </c:pt>
                <c:pt idx="17">
                  <c:v>20624</c:v>
                </c:pt>
                <c:pt idx="18">
                  <c:v>20758</c:v>
                </c:pt>
                <c:pt idx="19">
                  <c:v>20758.5</c:v>
                </c:pt>
                <c:pt idx="20">
                  <c:v>20761.5</c:v>
                </c:pt>
                <c:pt idx="21">
                  <c:v>20762</c:v>
                </c:pt>
                <c:pt idx="22">
                  <c:v>20765.5</c:v>
                </c:pt>
                <c:pt idx="23">
                  <c:v>20766</c:v>
                </c:pt>
                <c:pt idx="24">
                  <c:v>21082.5</c:v>
                </c:pt>
                <c:pt idx="25">
                  <c:v>23589</c:v>
                </c:pt>
                <c:pt idx="26">
                  <c:v>23589.5</c:v>
                </c:pt>
                <c:pt idx="27">
                  <c:v>23593</c:v>
                </c:pt>
                <c:pt idx="28">
                  <c:v>23593.5</c:v>
                </c:pt>
                <c:pt idx="29">
                  <c:v>23615</c:v>
                </c:pt>
                <c:pt idx="30">
                  <c:v>23615.5</c:v>
                </c:pt>
                <c:pt idx="31">
                  <c:v>23655.5</c:v>
                </c:pt>
                <c:pt idx="32">
                  <c:v>27807</c:v>
                </c:pt>
                <c:pt idx="33">
                  <c:v>27807.5</c:v>
                </c:pt>
                <c:pt idx="34">
                  <c:v>27847</c:v>
                </c:pt>
                <c:pt idx="35">
                  <c:v>27847.5</c:v>
                </c:pt>
                <c:pt idx="36">
                  <c:v>29088</c:v>
                </c:pt>
                <c:pt idx="37">
                  <c:v>31672</c:v>
                </c:pt>
                <c:pt idx="38">
                  <c:v>31672</c:v>
                </c:pt>
                <c:pt idx="39">
                  <c:v>33969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99-4B50-9EF6-9DB88FE9D5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10272.5</c:v>
                </c:pt>
                <c:pt idx="2">
                  <c:v>10273</c:v>
                </c:pt>
                <c:pt idx="3">
                  <c:v>10273</c:v>
                </c:pt>
                <c:pt idx="4">
                  <c:v>10276.5</c:v>
                </c:pt>
                <c:pt idx="5">
                  <c:v>10298</c:v>
                </c:pt>
                <c:pt idx="6">
                  <c:v>10298.5</c:v>
                </c:pt>
                <c:pt idx="7">
                  <c:v>10382</c:v>
                </c:pt>
                <c:pt idx="8">
                  <c:v>10403.5</c:v>
                </c:pt>
                <c:pt idx="9">
                  <c:v>10407.5</c:v>
                </c:pt>
                <c:pt idx="10">
                  <c:v>10411</c:v>
                </c:pt>
                <c:pt idx="11">
                  <c:v>10422</c:v>
                </c:pt>
                <c:pt idx="12">
                  <c:v>10425.5</c:v>
                </c:pt>
                <c:pt idx="13">
                  <c:v>10538.5</c:v>
                </c:pt>
                <c:pt idx="14">
                  <c:v>18501</c:v>
                </c:pt>
                <c:pt idx="15">
                  <c:v>18501</c:v>
                </c:pt>
                <c:pt idx="16">
                  <c:v>19540.5</c:v>
                </c:pt>
                <c:pt idx="17">
                  <c:v>20624</c:v>
                </c:pt>
                <c:pt idx="18">
                  <c:v>20758</c:v>
                </c:pt>
                <c:pt idx="19">
                  <c:v>20758.5</c:v>
                </c:pt>
                <c:pt idx="20">
                  <c:v>20761.5</c:v>
                </c:pt>
                <c:pt idx="21">
                  <c:v>20762</c:v>
                </c:pt>
                <c:pt idx="22">
                  <c:v>20765.5</c:v>
                </c:pt>
                <c:pt idx="23">
                  <c:v>20766</c:v>
                </c:pt>
                <c:pt idx="24">
                  <c:v>21082.5</c:v>
                </c:pt>
                <c:pt idx="25">
                  <c:v>23589</c:v>
                </c:pt>
                <c:pt idx="26">
                  <c:v>23589.5</c:v>
                </c:pt>
                <c:pt idx="27">
                  <c:v>23593</c:v>
                </c:pt>
                <c:pt idx="28">
                  <c:v>23593.5</c:v>
                </c:pt>
                <c:pt idx="29">
                  <c:v>23615</c:v>
                </c:pt>
                <c:pt idx="30">
                  <c:v>23615.5</c:v>
                </c:pt>
                <c:pt idx="31">
                  <c:v>23655.5</c:v>
                </c:pt>
                <c:pt idx="32">
                  <c:v>27807</c:v>
                </c:pt>
                <c:pt idx="33">
                  <c:v>27807.5</c:v>
                </c:pt>
                <c:pt idx="34">
                  <c:v>27847</c:v>
                </c:pt>
                <c:pt idx="35">
                  <c:v>27847.5</c:v>
                </c:pt>
                <c:pt idx="36">
                  <c:v>29088</c:v>
                </c:pt>
                <c:pt idx="37">
                  <c:v>31672</c:v>
                </c:pt>
                <c:pt idx="38">
                  <c:v>31672</c:v>
                </c:pt>
                <c:pt idx="39">
                  <c:v>33969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99-4B50-9EF6-9DB88FE9D5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10272.5</c:v>
                </c:pt>
                <c:pt idx="2">
                  <c:v>10273</c:v>
                </c:pt>
                <c:pt idx="3">
                  <c:v>10273</c:v>
                </c:pt>
                <c:pt idx="4">
                  <c:v>10276.5</c:v>
                </c:pt>
                <c:pt idx="5">
                  <c:v>10298</c:v>
                </c:pt>
                <c:pt idx="6">
                  <c:v>10298.5</c:v>
                </c:pt>
                <c:pt idx="7">
                  <c:v>10382</c:v>
                </c:pt>
                <c:pt idx="8">
                  <c:v>10403.5</c:v>
                </c:pt>
                <c:pt idx="9">
                  <c:v>10407.5</c:v>
                </c:pt>
                <c:pt idx="10">
                  <c:v>10411</c:v>
                </c:pt>
                <c:pt idx="11">
                  <c:v>10422</c:v>
                </c:pt>
                <c:pt idx="12">
                  <c:v>10425.5</c:v>
                </c:pt>
                <c:pt idx="13">
                  <c:v>10538.5</c:v>
                </c:pt>
                <c:pt idx="14">
                  <c:v>18501</c:v>
                </c:pt>
                <c:pt idx="15">
                  <c:v>18501</c:v>
                </c:pt>
                <c:pt idx="16">
                  <c:v>19540.5</c:v>
                </c:pt>
                <c:pt idx="17">
                  <c:v>20624</c:v>
                </c:pt>
                <c:pt idx="18">
                  <c:v>20758</c:v>
                </c:pt>
                <c:pt idx="19">
                  <c:v>20758.5</c:v>
                </c:pt>
                <c:pt idx="20">
                  <c:v>20761.5</c:v>
                </c:pt>
                <c:pt idx="21">
                  <c:v>20762</c:v>
                </c:pt>
                <c:pt idx="22">
                  <c:v>20765.5</c:v>
                </c:pt>
                <c:pt idx="23">
                  <c:v>20766</c:v>
                </c:pt>
                <c:pt idx="24">
                  <c:v>21082.5</c:v>
                </c:pt>
                <c:pt idx="25">
                  <c:v>23589</c:v>
                </c:pt>
                <c:pt idx="26">
                  <c:v>23589.5</c:v>
                </c:pt>
                <c:pt idx="27">
                  <c:v>23593</c:v>
                </c:pt>
                <c:pt idx="28">
                  <c:v>23593.5</c:v>
                </c:pt>
                <c:pt idx="29">
                  <c:v>23615</c:v>
                </c:pt>
                <c:pt idx="30">
                  <c:v>23615.5</c:v>
                </c:pt>
                <c:pt idx="31">
                  <c:v>23655.5</c:v>
                </c:pt>
                <c:pt idx="32">
                  <c:v>27807</c:v>
                </c:pt>
                <c:pt idx="33">
                  <c:v>27807.5</c:v>
                </c:pt>
                <c:pt idx="34">
                  <c:v>27847</c:v>
                </c:pt>
                <c:pt idx="35">
                  <c:v>27847.5</c:v>
                </c:pt>
                <c:pt idx="36">
                  <c:v>29088</c:v>
                </c:pt>
                <c:pt idx="37">
                  <c:v>31672</c:v>
                </c:pt>
                <c:pt idx="38">
                  <c:v>31672</c:v>
                </c:pt>
                <c:pt idx="39">
                  <c:v>33969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-1.6942230080689704E-2</c:v>
                </c:pt>
                <c:pt idx="1">
                  <c:v>-1.949966763702243E-3</c:v>
                </c:pt>
                <c:pt idx="2">
                  <c:v>-1.9492370356264579E-3</c:v>
                </c:pt>
                <c:pt idx="3">
                  <c:v>-1.9492370356264579E-3</c:v>
                </c:pt>
                <c:pt idx="4">
                  <c:v>-1.9441289390959692E-3</c:v>
                </c:pt>
                <c:pt idx="5">
                  <c:v>-1.9127506318372452E-3</c:v>
                </c:pt>
                <c:pt idx="6">
                  <c:v>-1.9120209037614619E-3</c:v>
                </c:pt>
                <c:pt idx="7">
                  <c:v>-1.7901563151054914E-3</c:v>
                </c:pt>
                <c:pt idx="8">
                  <c:v>-1.7587780078467691E-3</c:v>
                </c:pt>
                <c:pt idx="9">
                  <c:v>-1.7529401832404937E-3</c:v>
                </c:pt>
                <c:pt idx="10">
                  <c:v>-1.747832086710005E-3</c:v>
                </c:pt>
                <c:pt idx="11">
                  <c:v>-1.7317780690427505E-3</c:v>
                </c:pt>
                <c:pt idx="12">
                  <c:v>-1.7266699725122618E-3</c:v>
                </c:pt>
                <c:pt idx="13">
                  <c:v>-1.5617514273850198E-3</c:v>
                </c:pt>
                <c:pt idx="14">
                  <c:v>1.0059168179479196E-2</c:v>
                </c:pt>
                <c:pt idx="15">
                  <c:v>1.0059168179479196E-2</c:v>
                </c:pt>
                <c:pt idx="16">
                  <c:v>1.1576272849034657E-2</c:v>
                </c:pt>
                <c:pt idx="17">
                  <c:v>1.315759358925913E-2</c:v>
                </c:pt>
                <c:pt idx="18">
                  <c:v>1.3353160713569311E-2</c:v>
                </c:pt>
                <c:pt idx="19">
                  <c:v>1.3353890441645096E-2</c:v>
                </c:pt>
                <c:pt idx="20">
                  <c:v>1.3358268810099799E-2</c:v>
                </c:pt>
                <c:pt idx="21">
                  <c:v>1.3358998538175584E-2</c:v>
                </c:pt>
                <c:pt idx="22">
                  <c:v>1.3364106634706073E-2</c:v>
                </c:pt>
                <c:pt idx="23">
                  <c:v>1.3364836362781858E-2</c:v>
                </c:pt>
                <c:pt idx="24">
                  <c:v>1.382675423475329E-2</c:v>
                </c:pt>
                <c:pt idx="25">
                  <c:v>1.748488107865975E-2</c:v>
                </c:pt>
                <c:pt idx="26">
                  <c:v>1.7485610806735528E-2</c:v>
                </c:pt>
                <c:pt idx="27">
                  <c:v>1.7490718903266023E-2</c:v>
                </c:pt>
                <c:pt idx="28">
                  <c:v>1.7491448631341801E-2</c:v>
                </c:pt>
                <c:pt idx="29">
                  <c:v>1.7522826938600525E-2</c:v>
                </c:pt>
                <c:pt idx="30">
                  <c:v>1.7523556666676311E-2</c:v>
                </c:pt>
                <c:pt idx="31">
                  <c:v>1.7581934912739055E-2</c:v>
                </c:pt>
                <c:pt idx="32">
                  <c:v>2.3640867125975702E-2</c:v>
                </c:pt>
                <c:pt idx="33">
                  <c:v>2.364159685405148E-2</c:v>
                </c:pt>
                <c:pt idx="34">
                  <c:v>2.3699245372038439E-2</c:v>
                </c:pt>
                <c:pt idx="35">
                  <c:v>2.3699975100114224E-2</c:v>
                </c:pt>
                <c:pt idx="36">
                  <c:v>2.5510430456134953E-2</c:v>
                </c:pt>
                <c:pt idx="37">
                  <c:v>2.9281665151787966E-2</c:v>
                </c:pt>
                <c:pt idx="38">
                  <c:v>2.9281665151787966E-2</c:v>
                </c:pt>
                <c:pt idx="39">
                  <c:v>3.2634035931940822E-2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99-4B50-9EF6-9DB88FE9D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701856"/>
        <c:axId val="1"/>
      </c:scatterChart>
      <c:valAx>
        <c:axId val="598701856"/>
        <c:scaling>
          <c:orientation val="minMax"/>
          <c:max val="11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760269471563438"/>
              <c:y val="0.926413453637444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508312772747482E-2"/>
              <c:y val="0.276933362053147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701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58064516129032"/>
          <c:y val="0.80851063829787229"/>
          <c:w val="0.782258064516129"/>
          <c:h val="0.158054711246200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V345 Gem - O-C Diagr.</a:t>
            </a:r>
          </a:p>
        </c:rich>
      </c:tx>
      <c:layout>
        <c:manualLayout>
          <c:xMode val="edge"/>
          <c:yMode val="edge"/>
          <c:x val="0.3681940976890084"/>
          <c:y val="4.361510195840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4587767026752"/>
          <c:y val="0.20249916168853374"/>
          <c:w val="0.73638825427929711"/>
          <c:h val="0.392536836503926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10272.5</c:v>
                </c:pt>
                <c:pt idx="1">
                  <c:v>10273</c:v>
                </c:pt>
                <c:pt idx="2">
                  <c:v>10276.5</c:v>
                </c:pt>
                <c:pt idx="3">
                  <c:v>10298</c:v>
                </c:pt>
                <c:pt idx="4">
                  <c:v>10298.5</c:v>
                </c:pt>
                <c:pt idx="5">
                  <c:v>10382</c:v>
                </c:pt>
                <c:pt idx="6">
                  <c:v>10403.5</c:v>
                </c:pt>
                <c:pt idx="7">
                  <c:v>10407.5</c:v>
                </c:pt>
                <c:pt idx="8">
                  <c:v>10411</c:v>
                </c:pt>
                <c:pt idx="9">
                  <c:v>10422</c:v>
                </c:pt>
                <c:pt idx="10">
                  <c:v>10425.5</c:v>
                </c:pt>
                <c:pt idx="11">
                  <c:v>10538.5</c:v>
                </c:pt>
                <c:pt idx="12">
                  <c:v>19540.5</c:v>
                </c:pt>
                <c:pt idx="13">
                  <c:v>20624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8E-452E-9725-6BB0EAAAB71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(old)'!$D$21:$D$1080</c:f>
                <c:numCache>
                  <c:formatCode>General</c:formatCode>
                  <c:ptCount val="1060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 (old)'!$D$21:$D$1080</c:f>
                <c:numCache>
                  <c:formatCode>General</c:formatCode>
                  <c:ptCount val="1060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10272.5</c:v>
                </c:pt>
                <c:pt idx="1">
                  <c:v>10273</c:v>
                </c:pt>
                <c:pt idx="2">
                  <c:v>10276.5</c:v>
                </c:pt>
                <c:pt idx="3">
                  <c:v>10298</c:v>
                </c:pt>
                <c:pt idx="4">
                  <c:v>10298.5</c:v>
                </c:pt>
                <c:pt idx="5">
                  <c:v>10382</c:v>
                </c:pt>
                <c:pt idx="6">
                  <c:v>10403.5</c:v>
                </c:pt>
                <c:pt idx="7">
                  <c:v>10407.5</c:v>
                </c:pt>
                <c:pt idx="8">
                  <c:v>10411</c:v>
                </c:pt>
                <c:pt idx="9">
                  <c:v>10422</c:v>
                </c:pt>
                <c:pt idx="10">
                  <c:v>10425.5</c:v>
                </c:pt>
                <c:pt idx="11">
                  <c:v>10538.5</c:v>
                </c:pt>
                <c:pt idx="12">
                  <c:v>19540.5</c:v>
                </c:pt>
                <c:pt idx="13">
                  <c:v>20624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0">
                  <c:v>1.9400000019231811E-4</c:v>
                </c:pt>
                <c:pt idx="1">
                  <c:v>1.4071999976295047E-3</c:v>
                </c:pt>
                <c:pt idx="2">
                  <c:v>1.6995999976643361E-3</c:v>
                </c:pt>
                <c:pt idx="3">
                  <c:v>-1.3327999986358918E-3</c:v>
                </c:pt>
                <c:pt idx="4">
                  <c:v>-1.1195999977644533E-3</c:v>
                </c:pt>
                <c:pt idx="5">
                  <c:v>-2.1520000154851004E-4</c:v>
                </c:pt>
                <c:pt idx="6">
                  <c:v>-3.4759999834932387E-4</c:v>
                </c:pt>
                <c:pt idx="7">
                  <c:v>-1.1420000009820797E-3</c:v>
                </c:pt>
                <c:pt idx="8">
                  <c:v>5.0399998144712299E-5</c:v>
                </c:pt>
                <c:pt idx="9">
                  <c:v>2.4080000002868474E-4</c:v>
                </c:pt>
                <c:pt idx="10">
                  <c:v>-2.2667999946861528E-3</c:v>
                </c:pt>
                <c:pt idx="11">
                  <c:v>1.6400001186411828E-5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8E-452E-9725-6BB0EAAAB71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(old)'!$D$21:$D$49</c:f>
                <c:numCache>
                  <c:formatCode>General</c:formatCode>
                  <c:ptCount val="29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 (old)'!$D$21:$D$49</c:f>
                <c:numCache>
                  <c:formatCode>General</c:formatCode>
                  <c:ptCount val="29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10272.5</c:v>
                </c:pt>
                <c:pt idx="1">
                  <c:v>10273</c:v>
                </c:pt>
                <c:pt idx="2">
                  <c:v>10276.5</c:v>
                </c:pt>
                <c:pt idx="3">
                  <c:v>10298</c:v>
                </c:pt>
                <c:pt idx="4">
                  <c:v>10298.5</c:v>
                </c:pt>
                <c:pt idx="5">
                  <c:v>10382</c:v>
                </c:pt>
                <c:pt idx="6">
                  <c:v>10403.5</c:v>
                </c:pt>
                <c:pt idx="7">
                  <c:v>10407.5</c:v>
                </c:pt>
                <c:pt idx="8">
                  <c:v>10411</c:v>
                </c:pt>
                <c:pt idx="9">
                  <c:v>10422</c:v>
                </c:pt>
                <c:pt idx="10">
                  <c:v>10425.5</c:v>
                </c:pt>
                <c:pt idx="11">
                  <c:v>10538.5</c:v>
                </c:pt>
                <c:pt idx="12">
                  <c:v>19540.5</c:v>
                </c:pt>
                <c:pt idx="13">
                  <c:v>20624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  <c:pt idx="12">
                  <c:v>6.369200003973674E-3</c:v>
                </c:pt>
                <c:pt idx="13">
                  <c:v>2.2573599999304861E-2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8E-452E-9725-6BB0EAAAB71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10272.5</c:v>
                </c:pt>
                <c:pt idx="1">
                  <c:v>10273</c:v>
                </c:pt>
                <c:pt idx="2">
                  <c:v>10276.5</c:v>
                </c:pt>
                <c:pt idx="3">
                  <c:v>10298</c:v>
                </c:pt>
                <c:pt idx="4">
                  <c:v>10298.5</c:v>
                </c:pt>
                <c:pt idx="5">
                  <c:v>10382</c:v>
                </c:pt>
                <c:pt idx="6">
                  <c:v>10403.5</c:v>
                </c:pt>
                <c:pt idx="7">
                  <c:v>10407.5</c:v>
                </c:pt>
                <c:pt idx="8">
                  <c:v>10411</c:v>
                </c:pt>
                <c:pt idx="9">
                  <c:v>10422</c:v>
                </c:pt>
                <c:pt idx="10">
                  <c:v>10425.5</c:v>
                </c:pt>
                <c:pt idx="11">
                  <c:v>10538.5</c:v>
                </c:pt>
                <c:pt idx="12">
                  <c:v>19540.5</c:v>
                </c:pt>
                <c:pt idx="13">
                  <c:v>20624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8E-452E-9725-6BB0EAAAB71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10272.5</c:v>
                </c:pt>
                <c:pt idx="1">
                  <c:v>10273</c:v>
                </c:pt>
                <c:pt idx="2">
                  <c:v>10276.5</c:v>
                </c:pt>
                <c:pt idx="3">
                  <c:v>10298</c:v>
                </c:pt>
                <c:pt idx="4">
                  <c:v>10298.5</c:v>
                </c:pt>
                <c:pt idx="5">
                  <c:v>10382</c:v>
                </c:pt>
                <c:pt idx="6">
                  <c:v>10403.5</c:v>
                </c:pt>
                <c:pt idx="7">
                  <c:v>10407.5</c:v>
                </c:pt>
                <c:pt idx="8">
                  <c:v>10411</c:v>
                </c:pt>
                <c:pt idx="9">
                  <c:v>10422</c:v>
                </c:pt>
                <c:pt idx="10">
                  <c:v>10425.5</c:v>
                </c:pt>
                <c:pt idx="11">
                  <c:v>10538.5</c:v>
                </c:pt>
                <c:pt idx="12">
                  <c:v>19540.5</c:v>
                </c:pt>
                <c:pt idx="13">
                  <c:v>20624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8E-452E-9725-6BB0EAAAB71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10272.5</c:v>
                </c:pt>
                <c:pt idx="1">
                  <c:v>10273</c:v>
                </c:pt>
                <c:pt idx="2">
                  <c:v>10276.5</c:v>
                </c:pt>
                <c:pt idx="3">
                  <c:v>10298</c:v>
                </c:pt>
                <c:pt idx="4">
                  <c:v>10298.5</c:v>
                </c:pt>
                <c:pt idx="5">
                  <c:v>10382</c:v>
                </c:pt>
                <c:pt idx="6">
                  <c:v>10403.5</c:v>
                </c:pt>
                <c:pt idx="7">
                  <c:v>10407.5</c:v>
                </c:pt>
                <c:pt idx="8">
                  <c:v>10411</c:v>
                </c:pt>
                <c:pt idx="9">
                  <c:v>10422</c:v>
                </c:pt>
                <c:pt idx="10">
                  <c:v>10425.5</c:v>
                </c:pt>
                <c:pt idx="11">
                  <c:v>10538.5</c:v>
                </c:pt>
                <c:pt idx="12">
                  <c:v>19540.5</c:v>
                </c:pt>
                <c:pt idx="13">
                  <c:v>20624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8E-452E-9725-6BB0EAAAB71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10272.5</c:v>
                </c:pt>
                <c:pt idx="1">
                  <c:v>10273</c:v>
                </c:pt>
                <c:pt idx="2">
                  <c:v>10276.5</c:v>
                </c:pt>
                <c:pt idx="3">
                  <c:v>10298</c:v>
                </c:pt>
                <c:pt idx="4">
                  <c:v>10298.5</c:v>
                </c:pt>
                <c:pt idx="5">
                  <c:v>10382</c:v>
                </c:pt>
                <c:pt idx="6">
                  <c:v>10403.5</c:v>
                </c:pt>
                <c:pt idx="7">
                  <c:v>10407.5</c:v>
                </c:pt>
                <c:pt idx="8">
                  <c:v>10411</c:v>
                </c:pt>
                <c:pt idx="9">
                  <c:v>10422</c:v>
                </c:pt>
                <c:pt idx="10">
                  <c:v>10425.5</c:v>
                </c:pt>
                <c:pt idx="11">
                  <c:v>10538.5</c:v>
                </c:pt>
                <c:pt idx="12">
                  <c:v>19540.5</c:v>
                </c:pt>
                <c:pt idx="13">
                  <c:v>20624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8E-452E-9725-6BB0EAAAB71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10272.5</c:v>
                </c:pt>
                <c:pt idx="1">
                  <c:v>10273</c:v>
                </c:pt>
                <c:pt idx="2">
                  <c:v>10276.5</c:v>
                </c:pt>
                <c:pt idx="3">
                  <c:v>10298</c:v>
                </c:pt>
                <c:pt idx="4">
                  <c:v>10298.5</c:v>
                </c:pt>
                <c:pt idx="5">
                  <c:v>10382</c:v>
                </c:pt>
                <c:pt idx="6">
                  <c:v>10403.5</c:v>
                </c:pt>
                <c:pt idx="7">
                  <c:v>10407.5</c:v>
                </c:pt>
                <c:pt idx="8">
                  <c:v>10411</c:v>
                </c:pt>
                <c:pt idx="9">
                  <c:v>10422</c:v>
                </c:pt>
                <c:pt idx="10">
                  <c:v>10425.5</c:v>
                </c:pt>
                <c:pt idx="11">
                  <c:v>10538.5</c:v>
                </c:pt>
                <c:pt idx="12">
                  <c:v>19540.5</c:v>
                </c:pt>
                <c:pt idx="13">
                  <c:v>20624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-4.4636854261146178E-4</c:v>
                </c:pt>
                <c:pt idx="1">
                  <c:v>-4.4558869003407525E-4</c:v>
                </c:pt>
                <c:pt idx="2">
                  <c:v>-4.4012972199237999E-4</c:v>
                </c:pt>
                <c:pt idx="3">
                  <c:v>-4.0659606116482186E-4</c:v>
                </c:pt>
                <c:pt idx="4">
                  <c:v>-4.058162085874388E-4</c:v>
                </c:pt>
                <c:pt idx="5">
                  <c:v>-2.7558082816413199E-4</c:v>
                </c:pt>
                <c:pt idx="6">
                  <c:v>-2.4204716733657386E-4</c:v>
                </c:pt>
                <c:pt idx="7">
                  <c:v>-2.3580834671749207E-4</c:v>
                </c:pt>
                <c:pt idx="8">
                  <c:v>-2.303493786757968E-4</c:v>
                </c:pt>
                <c:pt idx="9">
                  <c:v>-2.1319262197332448E-4</c:v>
                </c:pt>
                <c:pt idx="10">
                  <c:v>-2.0773365393162921E-4</c:v>
                </c:pt>
                <c:pt idx="11">
                  <c:v>-3.148697144260415E-5</c:v>
                </c:pt>
                <c:pt idx="12">
                  <c:v>1.4008978831798184E-2</c:v>
                </c:pt>
                <c:pt idx="13">
                  <c:v>1.569891936699163E-2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8E-452E-9725-6BB0EAAA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869016"/>
        <c:axId val="1"/>
      </c:scatterChart>
      <c:valAx>
        <c:axId val="734869016"/>
        <c:scaling>
          <c:orientation val="minMax"/>
          <c:max val="25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244243859761432"/>
              <c:y val="0.69161251766606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729616115058779E-2"/>
              <c:y val="0.30530635978195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869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837432516057443"/>
          <c:y val="0.80307821522309708"/>
          <c:w val="0.93333486972665003"/>
          <c:h val="0.963078538259640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V345 Gem - O-C Diagr.</a:t>
            </a:r>
          </a:p>
        </c:rich>
      </c:tx>
      <c:layout>
        <c:manualLayout>
          <c:xMode val="edge"/>
          <c:yMode val="edge"/>
          <c:x val="0.36191668783337566"/>
          <c:y val="4.3480025119559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59398107537432"/>
          <c:y val="0.20187043298379687"/>
          <c:w val="0.72542086103500836"/>
          <c:h val="0.332309789681019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10272.5</c:v>
                </c:pt>
                <c:pt idx="1">
                  <c:v>10273</c:v>
                </c:pt>
                <c:pt idx="2">
                  <c:v>10276.5</c:v>
                </c:pt>
                <c:pt idx="3">
                  <c:v>10298</c:v>
                </c:pt>
                <c:pt idx="4">
                  <c:v>10298.5</c:v>
                </c:pt>
                <c:pt idx="5">
                  <c:v>10382</c:v>
                </c:pt>
                <c:pt idx="6">
                  <c:v>10403.5</c:v>
                </c:pt>
                <c:pt idx="7">
                  <c:v>10407.5</c:v>
                </c:pt>
                <c:pt idx="8">
                  <c:v>10411</c:v>
                </c:pt>
                <c:pt idx="9">
                  <c:v>10422</c:v>
                </c:pt>
                <c:pt idx="10">
                  <c:v>10425.5</c:v>
                </c:pt>
                <c:pt idx="11">
                  <c:v>10538.5</c:v>
                </c:pt>
                <c:pt idx="12">
                  <c:v>19540.5</c:v>
                </c:pt>
                <c:pt idx="13">
                  <c:v>20624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05-4C14-8991-1C5E9494DD8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(old)'!$D$21:$D$1080</c:f>
                <c:numCache>
                  <c:formatCode>General</c:formatCode>
                  <c:ptCount val="1060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 (old)'!$D$21:$D$1080</c:f>
                <c:numCache>
                  <c:formatCode>General</c:formatCode>
                  <c:ptCount val="1060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10272.5</c:v>
                </c:pt>
                <c:pt idx="1">
                  <c:v>10273</c:v>
                </c:pt>
                <c:pt idx="2">
                  <c:v>10276.5</c:v>
                </c:pt>
                <c:pt idx="3">
                  <c:v>10298</c:v>
                </c:pt>
                <c:pt idx="4">
                  <c:v>10298.5</c:v>
                </c:pt>
                <c:pt idx="5">
                  <c:v>10382</c:v>
                </c:pt>
                <c:pt idx="6">
                  <c:v>10403.5</c:v>
                </c:pt>
                <c:pt idx="7">
                  <c:v>10407.5</c:v>
                </c:pt>
                <c:pt idx="8">
                  <c:v>10411</c:v>
                </c:pt>
                <c:pt idx="9">
                  <c:v>10422</c:v>
                </c:pt>
                <c:pt idx="10">
                  <c:v>10425.5</c:v>
                </c:pt>
                <c:pt idx="11">
                  <c:v>10538.5</c:v>
                </c:pt>
                <c:pt idx="12">
                  <c:v>19540.5</c:v>
                </c:pt>
                <c:pt idx="13">
                  <c:v>20624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0">
                  <c:v>1.9400000019231811E-4</c:v>
                </c:pt>
                <c:pt idx="1">
                  <c:v>1.4071999976295047E-3</c:v>
                </c:pt>
                <c:pt idx="2">
                  <c:v>1.6995999976643361E-3</c:v>
                </c:pt>
                <c:pt idx="3">
                  <c:v>-1.3327999986358918E-3</c:v>
                </c:pt>
                <c:pt idx="4">
                  <c:v>-1.1195999977644533E-3</c:v>
                </c:pt>
                <c:pt idx="5">
                  <c:v>-2.1520000154851004E-4</c:v>
                </c:pt>
                <c:pt idx="6">
                  <c:v>-3.4759999834932387E-4</c:v>
                </c:pt>
                <c:pt idx="7">
                  <c:v>-1.1420000009820797E-3</c:v>
                </c:pt>
                <c:pt idx="8">
                  <c:v>5.0399998144712299E-5</c:v>
                </c:pt>
                <c:pt idx="9">
                  <c:v>2.4080000002868474E-4</c:v>
                </c:pt>
                <c:pt idx="10">
                  <c:v>-2.2667999946861528E-3</c:v>
                </c:pt>
                <c:pt idx="11">
                  <c:v>1.6400001186411828E-5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05-4C14-8991-1C5E9494DD8A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(old)'!$D$21:$D$49</c:f>
                <c:numCache>
                  <c:formatCode>General</c:formatCode>
                  <c:ptCount val="29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 (old)'!$D$21:$D$49</c:f>
                <c:numCache>
                  <c:formatCode>General</c:formatCode>
                  <c:ptCount val="29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10272.5</c:v>
                </c:pt>
                <c:pt idx="1">
                  <c:v>10273</c:v>
                </c:pt>
                <c:pt idx="2">
                  <c:v>10276.5</c:v>
                </c:pt>
                <c:pt idx="3">
                  <c:v>10298</c:v>
                </c:pt>
                <c:pt idx="4">
                  <c:v>10298.5</c:v>
                </c:pt>
                <c:pt idx="5">
                  <c:v>10382</c:v>
                </c:pt>
                <c:pt idx="6">
                  <c:v>10403.5</c:v>
                </c:pt>
                <c:pt idx="7">
                  <c:v>10407.5</c:v>
                </c:pt>
                <c:pt idx="8">
                  <c:v>10411</c:v>
                </c:pt>
                <c:pt idx="9">
                  <c:v>10422</c:v>
                </c:pt>
                <c:pt idx="10">
                  <c:v>10425.5</c:v>
                </c:pt>
                <c:pt idx="11">
                  <c:v>10538.5</c:v>
                </c:pt>
                <c:pt idx="12">
                  <c:v>19540.5</c:v>
                </c:pt>
                <c:pt idx="13">
                  <c:v>20624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  <c:pt idx="12">
                  <c:v>6.369200003973674E-3</c:v>
                </c:pt>
                <c:pt idx="13">
                  <c:v>2.2573599999304861E-2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05-4C14-8991-1C5E9494DD8A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10272.5</c:v>
                </c:pt>
                <c:pt idx="1">
                  <c:v>10273</c:v>
                </c:pt>
                <c:pt idx="2">
                  <c:v>10276.5</c:v>
                </c:pt>
                <c:pt idx="3">
                  <c:v>10298</c:v>
                </c:pt>
                <c:pt idx="4">
                  <c:v>10298.5</c:v>
                </c:pt>
                <c:pt idx="5">
                  <c:v>10382</c:v>
                </c:pt>
                <c:pt idx="6">
                  <c:v>10403.5</c:v>
                </c:pt>
                <c:pt idx="7">
                  <c:v>10407.5</c:v>
                </c:pt>
                <c:pt idx="8">
                  <c:v>10411</c:v>
                </c:pt>
                <c:pt idx="9">
                  <c:v>10422</c:v>
                </c:pt>
                <c:pt idx="10">
                  <c:v>10425.5</c:v>
                </c:pt>
                <c:pt idx="11">
                  <c:v>10538.5</c:v>
                </c:pt>
                <c:pt idx="12">
                  <c:v>19540.5</c:v>
                </c:pt>
                <c:pt idx="13">
                  <c:v>20624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05-4C14-8991-1C5E9494DD8A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10272.5</c:v>
                </c:pt>
                <c:pt idx="1">
                  <c:v>10273</c:v>
                </c:pt>
                <c:pt idx="2">
                  <c:v>10276.5</c:v>
                </c:pt>
                <c:pt idx="3">
                  <c:v>10298</c:v>
                </c:pt>
                <c:pt idx="4">
                  <c:v>10298.5</c:v>
                </c:pt>
                <c:pt idx="5">
                  <c:v>10382</c:v>
                </c:pt>
                <c:pt idx="6">
                  <c:v>10403.5</c:v>
                </c:pt>
                <c:pt idx="7">
                  <c:v>10407.5</c:v>
                </c:pt>
                <c:pt idx="8">
                  <c:v>10411</c:v>
                </c:pt>
                <c:pt idx="9">
                  <c:v>10422</c:v>
                </c:pt>
                <c:pt idx="10">
                  <c:v>10425.5</c:v>
                </c:pt>
                <c:pt idx="11">
                  <c:v>10538.5</c:v>
                </c:pt>
                <c:pt idx="12">
                  <c:v>19540.5</c:v>
                </c:pt>
                <c:pt idx="13">
                  <c:v>20624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05-4C14-8991-1C5E9494DD8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10272.5</c:v>
                </c:pt>
                <c:pt idx="1">
                  <c:v>10273</c:v>
                </c:pt>
                <c:pt idx="2">
                  <c:v>10276.5</c:v>
                </c:pt>
                <c:pt idx="3">
                  <c:v>10298</c:v>
                </c:pt>
                <c:pt idx="4">
                  <c:v>10298.5</c:v>
                </c:pt>
                <c:pt idx="5">
                  <c:v>10382</c:v>
                </c:pt>
                <c:pt idx="6">
                  <c:v>10403.5</c:v>
                </c:pt>
                <c:pt idx="7">
                  <c:v>10407.5</c:v>
                </c:pt>
                <c:pt idx="8">
                  <c:v>10411</c:v>
                </c:pt>
                <c:pt idx="9">
                  <c:v>10422</c:v>
                </c:pt>
                <c:pt idx="10">
                  <c:v>10425.5</c:v>
                </c:pt>
                <c:pt idx="11">
                  <c:v>10538.5</c:v>
                </c:pt>
                <c:pt idx="12">
                  <c:v>19540.5</c:v>
                </c:pt>
                <c:pt idx="13">
                  <c:v>20624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05-4C14-8991-1C5E9494DD8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10272.5</c:v>
                </c:pt>
                <c:pt idx="1">
                  <c:v>10273</c:v>
                </c:pt>
                <c:pt idx="2">
                  <c:v>10276.5</c:v>
                </c:pt>
                <c:pt idx="3">
                  <c:v>10298</c:v>
                </c:pt>
                <c:pt idx="4">
                  <c:v>10298.5</c:v>
                </c:pt>
                <c:pt idx="5">
                  <c:v>10382</c:v>
                </c:pt>
                <c:pt idx="6">
                  <c:v>10403.5</c:v>
                </c:pt>
                <c:pt idx="7">
                  <c:v>10407.5</c:v>
                </c:pt>
                <c:pt idx="8">
                  <c:v>10411</c:v>
                </c:pt>
                <c:pt idx="9">
                  <c:v>10422</c:v>
                </c:pt>
                <c:pt idx="10">
                  <c:v>10425.5</c:v>
                </c:pt>
                <c:pt idx="11">
                  <c:v>10538.5</c:v>
                </c:pt>
                <c:pt idx="12">
                  <c:v>19540.5</c:v>
                </c:pt>
                <c:pt idx="13">
                  <c:v>20624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05-4C14-8991-1C5E9494DD8A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10272.5</c:v>
                </c:pt>
                <c:pt idx="1">
                  <c:v>10273</c:v>
                </c:pt>
                <c:pt idx="2">
                  <c:v>10276.5</c:v>
                </c:pt>
                <c:pt idx="3">
                  <c:v>10298</c:v>
                </c:pt>
                <c:pt idx="4">
                  <c:v>10298.5</c:v>
                </c:pt>
                <c:pt idx="5">
                  <c:v>10382</c:v>
                </c:pt>
                <c:pt idx="6">
                  <c:v>10403.5</c:v>
                </c:pt>
                <c:pt idx="7">
                  <c:v>10407.5</c:v>
                </c:pt>
                <c:pt idx="8">
                  <c:v>10411</c:v>
                </c:pt>
                <c:pt idx="9">
                  <c:v>10422</c:v>
                </c:pt>
                <c:pt idx="10">
                  <c:v>10425.5</c:v>
                </c:pt>
                <c:pt idx="11">
                  <c:v>10538.5</c:v>
                </c:pt>
                <c:pt idx="12">
                  <c:v>19540.5</c:v>
                </c:pt>
                <c:pt idx="13">
                  <c:v>20624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-4.4636854261146178E-4</c:v>
                </c:pt>
                <c:pt idx="1">
                  <c:v>-4.4558869003407525E-4</c:v>
                </c:pt>
                <c:pt idx="2">
                  <c:v>-4.4012972199237999E-4</c:v>
                </c:pt>
                <c:pt idx="3">
                  <c:v>-4.0659606116482186E-4</c:v>
                </c:pt>
                <c:pt idx="4">
                  <c:v>-4.058162085874388E-4</c:v>
                </c:pt>
                <c:pt idx="5">
                  <c:v>-2.7558082816413199E-4</c:v>
                </c:pt>
                <c:pt idx="6">
                  <c:v>-2.4204716733657386E-4</c:v>
                </c:pt>
                <c:pt idx="7">
                  <c:v>-2.3580834671749207E-4</c:v>
                </c:pt>
                <c:pt idx="8">
                  <c:v>-2.303493786757968E-4</c:v>
                </c:pt>
                <c:pt idx="9">
                  <c:v>-2.1319262197332448E-4</c:v>
                </c:pt>
                <c:pt idx="10">
                  <c:v>-2.0773365393162921E-4</c:v>
                </c:pt>
                <c:pt idx="11">
                  <c:v>-3.148697144260415E-5</c:v>
                </c:pt>
                <c:pt idx="12">
                  <c:v>1.4008978831798184E-2</c:v>
                </c:pt>
                <c:pt idx="13">
                  <c:v>1.569891936699163E-2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05-4C14-8991-1C5E9494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73096"/>
        <c:axId val="1"/>
      </c:scatterChart>
      <c:valAx>
        <c:axId val="738473096"/>
        <c:scaling>
          <c:orientation val="minMax"/>
          <c:max val="11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287511641689945"/>
              <c:y val="0.69257072927233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605706544746422E-2"/>
              <c:y val="0.27330145081558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473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193548387096773"/>
          <c:y val="0.81288343558282206"/>
          <c:w val="0.92096774193548381"/>
          <c:h val="0.972392638036809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V345 Gem - O-C Diagr.</a:t>
            </a:r>
          </a:p>
        </c:rich>
      </c:tx>
      <c:layout>
        <c:manualLayout>
          <c:xMode val="edge"/>
          <c:yMode val="edge"/>
          <c:x val="0.3681940976890084"/>
          <c:y val="4.361510195840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4587767026752"/>
          <c:y val="0.20249916168853374"/>
          <c:w val="0.73184264777140018"/>
          <c:h val="0.392536836503926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'C'!$F$21:$F$998</c:f>
              <c:numCache>
                <c:formatCode>General</c:formatCode>
                <c:ptCount val="978"/>
                <c:pt idx="0">
                  <c:v>-9268</c:v>
                </c:pt>
                <c:pt idx="1">
                  <c:v>-9267.5</c:v>
                </c:pt>
                <c:pt idx="2">
                  <c:v>-9264</c:v>
                </c:pt>
                <c:pt idx="3">
                  <c:v>-9242.5</c:v>
                </c:pt>
                <c:pt idx="4">
                  <c:v>-9242</c:v>
                </c:pt>
                <c:pt idx="5">
                  <c:v>-9158.5</c:v>
                </c:pt>
                <c:pt idx="6">
                  <c:v>-9137</c:v>
                </c:pt>
                <c:pt idx="7">
                  <c:v>-9133</c:v>
                </c:pt>
                <c:pt idx="8">
                  <c:v>-9129.5</c:v>
                </c:pt>
                <c:pt idx="9">
                  <c:v>-9118.5</c:v>
                </c:pt>
                <c:pt idx="10">
                  <c:v>-9115</c:v>
                </c:pt>
                <c:pt idx="11">
                  <c:v>-9002</c:v>
                </c:pt>
                <c:pt idx="12">
                  <c:v>-0.5</c:v>
                </c:pt>
                <c:pt idx="13">
                  <c:v>1083</c:v>
                </c:pt>
              </c:numCache>
            </c:numRef>
          </c:xVal>
          <c:yVal>
            <c:numRef>
              <c:f>'C'!$H$21:$H$998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FB-4201-B44D-353BCCB607D6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'C'!$D$21:$D$1080</c:f>
                <c:numCache>
                  <c:formatCode>General</c:formatCode>
                  <c:ptCount val="1060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'C'!$D$21:$D$1080</c:f>
                <c:numCache>
                  <c:formatCode>General</c:formatCode>
                  <c:ptCount val="1060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'C'!$F$21:$F$998</c:f>
              <c:numCache>
                <c:formatCode>General</c:formatCode>
                <c:ptCount val="978"/>
                <c:pt idx="0">
                  <c:v>-9268</c:v>
                </c:pt>
                <c:pt idx="1">
                  <c:v>-9267.5</c:v>
                </c:pt>
                <c:pt idx="2">
                  <c:v>-9264</c:v>
                </c:pt>
                <c:pt idx="3">
                  <c:v>-9242.5</c:v>
                </c:pt>
                <c:pt idx="4">
                  <c:v>-9242</c:v>
                </c:pt>
                <c:pt idx="5">
                  <c:v>-9158.5</c:v>
                </c:pt>
                <c:pt idx="6">
                  <c:v>-9137</c:v>
                </c:pt>
                <c:pt idx="7">
                  <c:v>-9133</c:v>
                </c:pt>
                <c:pt idx="8">
                  <c:v>-9129.5</c:v>
                </c:pt>
                <c:pt idx="9">
                  <c:v>-9118.5</c:v>
                </c:pt>
                <c:pt idx="10">
                  <c:v>-9115</c:v>
                </c:pt>
                <c:pt idx="11">
                  <c:v>-9002</c:v>
                </c:pt>
                <c:pt idx="12">
                  <c:v>-0.5</c:v>
                </c:pt>
                <c:pt idx="13">
                  <c:v>1083</c:v>
                </c:pt>
              </c:numCache>
            </c:numRef>
          </c:xVal>
          <c:yVal>
            <c:numRef>
              <c:f>'C'!$I$21:$I$998</c:f>
              <c:numCache>
                <c:formatCode>General</c:formatCode>
                <c:ptCount val="978"/>
                <c:pt idx="0">
                  <c:v>1.432699391443748E-3</c:v>
                </c:pt>
                <c:pt idx="1">
                  <c:v>2.6380770577816293E-3</c:v>
                </c:pt>
                <c:pt idx="2">
                  <c:v>2.8757207473972812E-3</c:v>
                </c:pt>
                <c:pt idx="3">
                  <c:v>-4.9303941341349855E-4</c:v>
                </c:pt>
                <c:pt idx="4">
                  <c:v>-2.8766174364136532E-4</c:v>
                </c:pt>
                <c:pt idx="5">
                  <c:v>-6.8959077179897577E-4</c:v>
                </c:pt>
                <c:pt idx="6">
                  <c:v>-1.158350940386299E-3</c:v>
                </c:pt>
                <c:pt idx="7">
                  <c:v>-2.015329577261582E-3</c:v>
                </c:pt>
                <c:pt idx="8">
                  <c:v>-8.7768588127801195E-4</c:v>
                </c:pt>
                <c:pt idx="9">
                  <c:v>-8.5937712719896808E-4</c:v>
                </c:pt>
                <c:pt idx="10">
                  <c:v>-3.4217334323329851E-3</c:v>
                </c:pt>
                <c:pt idx="11">
                  <c:v>-2.906379901105538E-3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FB-4201-B44D-353BCCB607D6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'C'!$D$21:$D$49</c:f>
                <c:numCache>
                  <c:formatCode>General</c:formatCode>
                  <c:ptCount val="29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'C'!$D$21:$D$49</c:f>
                <c:numCache>
                  <c:formatCode>General</c:formatCode>
                  <c:ptCount val="29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'C'!$F$21:$F$998</c:f>
              <c:numCache>
                <c:formatCode>General</c:formatCode>
                <c:ptCount val="978"/>
                <c:pt idx="0">
                  <c:v>-9268</c:v>
                </c:pt>
                <c:pt idx="1">
                  <c:v>-9267.5</c:v>
                </c:pt>
                <c:pt idx="2">
                  <c:v>-9264</c:v>
                </c:pt>
                <c:pt idx="3">
                  <c:v>-9242.5</c:v>
                </c:pt>
                <c:pt idx="4">
                  <c:v>-9242</c:v>
                </c:pt>
                <c:pt idx="5">
                  <c:v>-9158.5</c:v>
                </c:pt>
                <c:pt idx="6">
                  <c:v>-9137</c:v>
                </c:pt>
                <c:pt idx="7">
                  <c:v>-9133</c:v>
                </c:pt>
                <c:pt idx="8">
                  <c:v>-9129.5</c:v>
                </c:pt>
                <c:pt idx="9">
                  <c:v>-9118.5</c:v>
                </c:pt>
                <c:pt idx="10">
                  <c:v>-9115</c:v>
                </c:pt>
                <c:pt idx="11">
                  <c:v>-9002</c:v>
                </c:pt>
                <c:pt idx="12">
                  <c:v>-0.5</c:v>
                </c:pt>
                <c:pt idx="13">
                  <c:v>1083</c:v>
                </c:pt>
              </c:numCache>
            </c:numRef>
          </c:xVal>
          <c:yVal>
            <c:numRef>
              <c:f>'C'!$J$21:$J$998</c:f>
              <c:numCache>
                <c:formatCode>General</c:formatCode>
                <c:ptCount val="978"/>
                <c:pt idx="12">
                  <c:v>7.8223310993053019E-6</c:v>
                </c:pt>
                <c:pt idx="13">
                  <c:v>-7.3876567330444232E-4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FB-4201-B44D-353BCCB607D6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'C'!$F$21:$F$998</c:f>
              <c:numCache>
                <c:formatCode>General</c:formatCode>
                <c:ptCount val="978"/>
                <c:pt idx="0">
                  <c:v>-9268</c:v>
                </c:pt>
                <c:pt idx="1">
                  <c:v>-9267.5</c:v>
                </c:pt>
                <c:pt idx="2">
                  <c:v>-9264</c:v>
                </c:pt>
                <c:pt idx="3">
                  <c:v>-9242.5</c:v>
                </c:pt>
                <c:pt idx="4">
                  <c:v>-9242</c:v>
                </c:pt>
                <c:pt idx="5">
                  <c:v>-9158.5</c:v>
                </c:pt>
                <c:pt idx="6">
                  <c:v>-9137</c:v>
                </c:pt>
                <c:pt idx="7">
                  <c:v>-9133</c:v>
                </c:pt>
                <c:pt idx="8">
                  <c:v>-9129.5</c:v>
                </c:pt>
                <c:pt idx="9">
                  <c:v>-9118.5</c:v>
                </c:pt>
                <c:pt idx="10">
                  <c:v>-9115</c:v>
                </c:pt>
                <c:pt idx="11">
                  <c:v>-9002</c:v>
                </c:pt>
                <c:pt idx="12">
                  <c:v>-0.5</c:v>
                </c:pt>
                <c:pt idx="13">
                  <c:v>1083</c:v>
                </c:pt>
              </c:numCache>
            </c:numRef>
          </c:xVal>
          <c:yVal>
            <c:numRef>
              <c:f>'C'!$K$21:$K$998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FB-4201-B44D-353BCCB607D6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'C'!$F$21:$F$998</c:f>
              <c:numCache>
                <c:formatCode>General</c:formatCode>
                <c:ptCount val="978"/>
                <c:pt idx="0">
                  <c:v>-9268</c:v>
                </c:pt>
                <c:pt idx="1">
                  <c:v>-9267.5</c:v>
                </c:pt>
                <c:pt idx="2">
                  <c:v>-9264</c:v>
                </c:pt>
                <c:pt idx="3">
                  <c:v>-9242.5</c:v>
                </c:pt>
                <c:pt idx="4">
                  <c:v>-9242</c:v>
                </c:pt>
                <c:pt idx="5">
                  <c:v>-9158.5</c:v>
                </c:pt>
                <c:pt idx="6">
                  <c:v>-9137</c:v>
                </c:pt>
                <c:pt idx="7">
                  <c:v>-9133</c:v>
                </c:pt>
                <c:pt idx="8">
                  <c:v>-9129.5</c:v>
                </c:pt>
                <c:pt idx="9">
                  <c:v>-9118.5</c:v>
                </c:pt>
                <c:pt idx="10">
                  <c:v>-9115</c:v>
                </c:pt>
                <c:pt idx="11">
                  <c:v>-9002</c:v>
                </c:pt>
                <c:pt idx="12">
                  <c:v>-0.5</c:v>
                </c:pt>
                <c:pt idx="13">
                  <c:v>1083</c:v>
                </c:pt>
              </c:numCache>
            </c:numRef>
          </c:xVal>
          <c:yVal>
            <c:numRef>
              <c:f>'C'!$L$21:$L$998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FB-4201-B44D-353BCCB607D6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'C'!$F$21:$F$998</c:f>
              <c:numCache>
                <c:formatCode>General</c:formatCode>
                <c:ptCount val="978"/>
                <c:pt idx="0">
                  <c:v>-9268</c:v>
                </c:pt>
                <c:pt idx="1">
                  <c:v>-9267.5</c:v>
                </c:pt>
                <c:pt idx="2">
                  <c:v>-9264</c:v>
                </c:pt>
                <c:pt idx="3">
                  <c:v>-9242.5</c:v>
                </c:pt>
                <c:pt idx="4">
                  <c:v>-9242</c:v>
                </c:pt>
                <c:pt idx="5">
                  <c:v>-9158.5</c:v>
                </c:pt>
                <c:pt idx="6">
                  <c:v>-9137</c:v>
                </c:pt>
                <c:pt idx="7">
                  <c:v>-9133</c:v>
                </c:pt>
                <c:pt idx="8">
                  <c:v>-9129.5</c:v>
                </c:pt>
                <c:pt idx="9">
                  <c:v>-9118.5</c:v>
                </c:pt>
                <c:pt idx="10">
                  <c:v>-9115</c:v>
                </c:pt>
                <c:pt idx="11">
                  <c:v>-9002</c:v>
                </c:pt>
                <c:pt idx="12">
                  <c:v>-0.5</c:v>
                </c:pt>
                <c:pt idx="13">
                  <c:v>1083</c:v>
                </c:pt>
              </c:numCache>
            </c:numRef>
          </c:xVal>
          <c:yVal>
            <c:numRef>
              <c:f>'C'!$M$21:$M$998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FB-4201-B44D-353BCCB607D6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'C'!$F$21:$F$998</c:f>
              <c:numCache>
                <c:formatCode>General</c:formatCode>
                <c:ptCount val="978"/>
                <c:pt idx="0">
                  <c:v>-9268</c:v>
                </c:pt>
                <c:pt idx="1">
                  <c:v>-9267.5</c:v>
                </c:pt>
                <c:pt idx="2">
                  <c:v>-9264</c:v>
                </c:pt>
                <c:pt idx="3">
                  <c:v>-9242.5</c:v>
                </c:pt>
                <c:pt idx="4">
                  <c:v>-9242</c:v>
                </c:pt>
                <c:pt idx="5">
                  <c:v>-9158.5</c:v>
                </c:pt>
                <c:pt idx="6">
                  <c:v>-9137</c:v>
                </c:pt>
                <c:pt idx="7">
                  <c:v>-9133</c:v>
                </c:pt>
                <c:pt idx="8">
                  <c:v>-9129.5</c:v>
                </c:pt>
                <c:pt idx="9">
                  <c:v>-9118.5</c:v>
                </c:pt>
                <c:pt idx="10">
                  <c:v>-9115</c:v>
                </c:pt>
                <c:pt idx="11">
                  <c:v>-9002</c:v>
                </c:pt>
                <c:pt idx="12">
                  <c:v>-0.5</c:v>
                </c:pt>
                <c:pt idx="13">
                  <c:v>1083</c:v>
                </c:pt>
              </c:numCache>
            </c:numRef>
          </c:xVal>
          <c:yVal>
            <c:numRef>
              <c:f>'C'!$N$21:$N$998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FB-4201-B44D-353BCCB607D6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'C'!$F$21:$F$998</c:f>
              <c:numCache>
                <c:formatCode>General</c:formatCode>
                <c:ptCount val="978"/>
                <c:pt idx="0">
                  <c:v>-9268</c:v>
                </c:pt>
                <c:pt idx="1">
                  <c:v>-9267.5</c:v>
                </c:pt>
                <c:pt idx="2">
                  <c:v>-9264</c:v>
                </c:pt>
                <c:pt idx="3">
                  <c:v>-9242.5</c:v>
                </c:pt>
                <c:pt idx="4">
                  <c:v>-9242</c:v>
                </c:pt>
                <c:pt idx="5">
                  <c:v>-9158.5</c:v>
                </c:pt>
                <c:pt idx="6">
                  <c:v>-9137</c:v>
                </c:pt>
                <c:pt idx="7">
                  <c:v>-9133</c:v>
                </c:pt>
                <c:pt idx="8">
                  <c:v>-9129.5</c:v>
                </c:pt>
                <c:pt idx="9">
                  <c:v>-9118.5</c:v>
                </c:pt>
                <c:pt idx="10">
                  <c:v>-9115</c:v>
                </c:pt>
                <c:pt idx="11">
                  <c:v>-9002</c:v>
                </c:pt>
                <c:pt idx="12">
                  <c:v>-0.5</c:v>
                </c:pt>
                <c:pt idx="13">
                  <c:v>1083</c:v>
                </c:pt>
              </c:numCache>
            </c:numRef>
          </c:xVal>
          <c:yVal>
            <c:numRef>
              <c:f>'C'!$O$21:$O$998</c:f>
              <c:numCache>
                <c:formatCode>General</c:formatCode>
                <c:ptCount val="978"/>
                <c:pt idx="0">
                  <c:v>-4.6382820981562706E-4</c:v>
                </c:pt>
                <c:pt idx="1">
                  <c:v>-4.6382820981554472E-4</c:v>
                </c:pt>
                <c:pt idx="2">
                  <c:v>-4.6382820981496819E-4</c:v>
                </c:pt>
                <c:pt idx="3">
                  <c:v>-4.638282098114267E-4</c:v>
                </c:pt>
                <c:pt idx="4">
                  <c:v>-4.6382820981134436E-4</c:v>
                </c:pt>
                <c:pt idx="5">
                  <c:v>-4.6382820979759033E-4</c:v>
                </c:pt>
                <c:pt idx="6">
                  <c:v>-4.6382820979404884E-4</c:v>
                </c:pt>
                <c:pt idx="7">
                  <c:v>-4.6382820979338997E-4</c:v>
                </c:pt>
                <c:pt idx="8">
                  <c:v>-4.6382820979281344E-4</c:v>
                </c:pt>
                <c:pt idx="9">
                  <c:v>-4.6382820979100152E-4</c:v>
                </c:pt>
                <c:pt idx="10">
                  <c:v>-4.63828209790425E-4</c:v>
                </c:pt>
                <c:pt idx="11">
                  <c:v>-4.6382820977181174E-4</c:v>
                </c:pt>
                <c:pt idx="12">
                  <c:v>-4.6382820828909198E-4</c:v>
                </c:pt>
                <c:pt idx="13">
                  <c:v>-4.6382820811061875E-4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FB-4201-B44D-353BCCB60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989864"/>
        <c:axId val="1"/>
      </c:scatterChart>
      <c:valAx>
        <c:axId val="592989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941198813562941"/>
              <c:y val="0.69161251766606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729616115058779E-2"/>
              <c:y val="0.30530635978195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989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861822759959881"/>
          <c:y val="0.80923206137694326"/>
          <c:w val="0.92357877216567441"/>
          <c:h val="0.969232384413486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V345 Gem - O-C Diagr.</a:t>
            </a:r>
          </a:p>
        </c:rich>
      </c:tx>
      <c:layout>
        <c:manualLayout>
          <c:xMode val="edge"/>
          <c:yMode val="edge"/>
          <c:x val="0.36191668783337566"/>
          <c:y val="4.3480025119559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59398107537432"/>
          <c:y val="0.20187043298379687"/>
          <c:w val="0.72542086103500836"/>
          <c:h val="0.332309789681019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'C'!$F$21:$F$998</c:f>
              <c:numCache>
                <c:formatCode>General</c:formatCode>
                <c:ptCount val="978"/>
                <c:pt idx="0">
                  <c:v>-9268</c:v>
                </c:pt>
                <c:pt idx="1">
                  <c:v>-9267.5</c:v>
                </c:pt>
                <c:pt idx="2">
                  <c:v>-9264</c:v>
                </c:pt>
                <c:pt idx="3">
                  <c:v>-9242.5</c:v>
                </c:pt>
                <c:pt idx="4">
                  <c:v>-9242</c:v>
                </c:pt>
                <c:pt idx="5">
                  <c:v>-9158.5</c:v>
                </c:pt>
                <c:pt idx="6">
                  <c:v>-9137</c:v>
                </c:pt>
                <c:pt idx="7">
                  <c:v>-9133</c:v>
                </c:pt>
                <c:pt idx="8">
                  <c:v>-9129.5</c:v>
                </c:pt>
                <c:pt idx="9">
                  <c:v>-9118.5</c:v>
                </c:pt>
                <c:pt idx="10">
                  <c:v>-9115</c:v>
                </c:pt>
                <c:pt idx="11">
                  <c:v>-9002</c:v>
                </c:pt>
                <c:pt idx="12">
                  <c:v>-0.5</c:v>
                </c:pt>
                <c:pt idx="13">
                  <c:v>1083</c:v>
                </c:pt>
              </c:numCache>
            </c:numRef>
          </c:xVal>
          <c:yVal>
            <c:numRef>
              <c:f>'C'!$H$21:$H$998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C4-4B86-A21B-19301F38C78B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'C'!$D$21:$D$1080</c:f>
                <c:numCache>
                  <c:formatCode>General</c:formatCode>
                  <c:ptCount val="1060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'C'!$D$21:$D$1080</c:f>
                <c:numCache>
                  <c:formatCode>General</c:formatCode>
                  <c:ptCount val="1060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'C'!$F$21:$F$998</c:f>
              <c:numCache>
                <c:formatCode>General</c:formatCode>
                <c:ptCount val="978"/>
                <c:pt idx="0">
                  <c:v>-9268</c:v>
                </c:pt>
                <c:pt idx="1">
                  <c:v>-9267.5</c:v>
                </c:pt>
                <c:pt idx="2">
                  <c:v>-9264</c:v>
                </c:pt>
                <c:pt idx="3">
                  <c:v>-9242.5</c:v>
                </c:pt>
                <c:pt idx="4">
                  <c:v>-9242</c:v>
                </c:pt>
                <c:pt idx="5">
                  <c:v>-9158.5</c:v>
                </c:pt>
                <c:pt idx="6">
                  <c:v>-9137</c:v>
                </c:pt>
                <c:pt idx="7">
                  <c:v>-9133</c:v>
                </c:pt>
                <c:pt idx="8">
                  <c:v>-9129.5</c:v>
                </c:pt>
                <c:pt idx="9">
                  <c:v>-9118.5</c:v>
                </c:pt>
                <c:pt idx="10">
                  <c:v>-9115</c:v>
                </c:pt>
                <c:pt idx="11">
                  <c:v>-9002</c:v>
                </c:pt>
                <c:pt idx="12">
                  <c:v>-0.5</c:v>
                </c:pt>
                <c:pt idx="13">
                  <c:v>1083</c:v>
                </c:pt>
              </c:numCache>
            </c:numRef>
          </c:xVal>
          <c:yVal>
            <c:numRef>
              <c:f>'C'!$I$21:$I$998</c:f>
              <c:numCache>
                <c:formatCode>General</c:formatCode>
                <c:ptCount val="978"/>
                <c:pt idx="0">
                  <c:v>1.432699391443748E-3</c:v>
                </c:pt>
                <c:pt idx="1">
                  <c:v>2.6380770577816293E-3</c:v>
                </c:pt>
                <c:pt idx="2">
                  <c:v>2.8757207473972812E-3</c:v>
                </c:pt>
                <c:pt idx="3">
                  <c:v>-4.9303941341349855E-4</c:v>
                </c:pt>
                <c:pt idx="4">
                  <c:v>-2.8766174364136532E-4</c:v>
                </c:pt>
                <c:pt idx="5">
                  <c:v>-6.8959077179897577E-4</c:v>
                </c:pt>
                <c:pt idx="6">
                  <c:v>-1.158350940386299E-3</c:v>
                </c:pt>
                <c:pt idx="7">
                  <c:v>-2.015329577261582E-3</c:v>
                </c:pt>
                <c:pt idx="8">
                  <c:v>-8.7768588127801195E-4</c:v>
                </c:pt>
                <c:pt idx="9">
                  <c:v>-8.5937712719896808E-4</c:v>
                </c:pt>
                <c:pt idx="10">
                  <c:v>-3.4217334323329851E-3</c:v>
                </c:pt>
                <c:pt idx="11">
                  <c:v>-2.906379901105538E-3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C4-4B86-A21B-19301F38C78B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'C'!$D$21:$D$49</c:f>
                <c:numCache>
                  <c:formatCode>General</c:formatCode>
                  <c:ptCount val="29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'C'!$D$21:$D$49</c:f>
                <c:numCache>
                  <c:formatCode>General</c:formatCode>
                  <c:ptCount val="29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'C'!$F$21:$F$998</c:f>
              <c:numCache>
                <c:formatCode>General</c:formatCode>
                <c:ptCount val="978"/>
                <c:pt idx="0">
                  <c:v>-9268</c:v>
                </c:pt>
                <c:pt idx="1">
                  <c:v>-9267.5</c:v>
                </c:pt>
                <c:pt idx="2">
                  <c:v>-9264</c:v>
                </c:pt>
                <c:pt idx="3">
                  <c:v>-9242.5</c:v>
                </c:pt>
                <c:pt idx="4">
                  <c:v>-9242</c:v>
                </c:pt>
                <c:pt idx="5">
                  <c:v>-9158.5</c:v>
                </c:pt>
                <c:pt idx="6">
                  <c:v>-9137</c:v>
                </c:pt>
                <c:pt idx="7">
                  <c:v>-9133</c:v>
                </c:pt>
                <c:pt idx="8">
                  <c:v>-9129.5</c:v>
                </c:pt>
                <c:pt idx="9">
                  <c:v>-9118.5</c:v>
                </c:pt>
                <c:pt idx="10">
                  <c:v>-9115</c:v>
                </c:pt>
                <c:pt idx="11">
                  <c:v>-9002</c:v>
                </c:pt>
                <c:pt idx="12">
                  <c:v>-0.5</c:v>
                </c:pt>
                <c:pt idx="13">
                  <c:v>1083</c:v>
                </c:pt>
              </c:numCache>
            </c:numRef>
          </c:xVal>
          <c:yVal>
            <c:numRef>
              <c:f>'C'!$J$21:$J$998</c:f>
              <c:numCache>
                <c:formatCode>General</c:formatCode>
                <c:ptCount val="978"/>
                <c:pt idx="12">
                  <c:v>7.8223310993053019E-6</c:v>
                </c:pt>
                <c:pt idx="13">
                  <c:v>-7.3876567330444232E-4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C4-4B86-A21B-19301F38C78B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'C'!$F$21:$F$998</c:f>
              <c:numCache>
                <c:formatCode>General</c:formatCode>
                <c:ptCount val="978"/>
                <c:pt idx="0">
                  <c:v>-9268</c:v>
                </c:pt>
                <c:pt idx="1">
                  <c:v>-9267.5</c:v>
                </c:pt>
                <c:pt idx="2">
                  <c:v>-9264</c:v>
                </c:pt>
                <c:pt idx="3">
                  <c:v>-9242.5</c:v>
                </c:pt>
                <c:pt idx="4">
                  <c:v>-9242</c:v>
                </c:pt>
                <c:pt idx="5">
                  <c:v>-9158.5</c:v>
                </c:pt>
                <c:pt idx="6">
                  <c:v>-9137</c:v>
                </c:pt>
                <c:pt idx="7">
                  <c:v>-9133</c:v>
                </c:pt>
                <c:pt idx="8">
                  <c:v>-9129.5</c:v>
                </c:pt>
                <c:pt idx="9">
                  <c:v>-9118.5</c:v>
                </c:pt>
                <c:pt idx="10">
                  <c:v>-9115</c:v>
                </c:pt>
                <c:pt idx="11">
                  <c:v>-9002</c:v>
                </c:pt>
                <c:pt idx="12">
                  <c:v>-0.5</c:v>
                </c:pt>
                <c:pt idx="13">
                  <c:v>1083</c:v>
                </c:pt>
              </c:numCache>
            </c:numRef>
          </c:xVal>
          <c:yVal>
            <c:numRef>
              <c:f>'C'!$K$21:$K$998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C4-4B86-A21B-19301F38C78B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'C'!$F$21:$F$998</c:f>
              <c:numCache>
                <c:formatCode>General</c:formatCode>
                <c:ptCount val="978"/>
                <c:pt idx="0">
                  <c:v>-9268</c:v>
                </c:pt>
                <c:pt idx="1">
                  <c:v>-9267.5</c:v>
                </c:pt>
                <c:pt idx="2">
                  <c:v>-9264</c:v>
                </c:pt>
                <c:pt idx="3">
                  <c:v>-9242.5</c:v>
                </c:pt>
                <c:pt idx="4">
                  <c:v>-9242</c:v>
                </c:pt>
                <c:pt idx="5">
                  <c:v>-9158.5</c:v>
                </c:pt>
                <c:pt idx="6">
                  <c:v>-9137</c:v>
                </c:pt>
                <c:pt idx="7">
                  <c:v>-9133</c:v>
                </c:pt>
                <c:pt idx="8">
                  <c:v>-9129.5</c:v>
                </c:pt>
                <c:pt idx="9">
                  <c:v>-9118.5</c:v>
                </c:pt>
                <c:pt idx="10">
                  <c:v>-9115</c:v>
                </c:pt>
                <c:pt idx="11">
                  <c:v>-9002</c:v>
                </c:pt>
                <c:pt idx="12">
                  <c:v>-0.5</c:v>
                </c:pt>
                <c:pt idx="13">
                  <c:v>1083</c:v>
                </c:pt>
              </c:numCache>
            </c:numRef>
          </c:xVal>
          <c:yVal>
            <c:numRef>
              <c:f>'C'!$L$21:$L$998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C4-4B86-A21B-19301F38C78B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'C'!$F$21:$F$998</c:f>
              <c:numCache>
                <c:formatCode>General</c:formatCode>
                <c:ptCount val="978"/>
                <c:pt idx="0">
                  <c:v>-9268</c:v>
                </c:pt>
                <c:pt idx="1">
                  <c:v>-9267.5</c:v>
                </c:pt>
                <c:pt idx="2">
                  <c:v>-9264</c:v>
                </c:pt>
                <c:pt idx="3">
                  <c:v>-9242.5</c:v>
                </c:pt>
                <c:pt idx="4">
                  <c:v>-9242</c:v>
                </c:pt>
                <c:pt idx="5">
                  <c:v>-9158.5</c:v>
                </c:pt>
                <c:pt idx="6">
                  <c:v>-9137</c:v>
                </c:pt>
                <c:pt idx="7">
                  <c:v>-9133</c:v>
                </c:pt>
                <c:pt idx="8">
                  <c:v>-9129.5</c:v>
                </c:pt>
                <c:pt idx="9">
                  <c:v>-9118.5</c:v>
                </c:pt>
                <c:pt idx="10">
                  <c:v>-9115</c:v>
                </c:pt>
                <c:pt idx="11">
                  <c:v>-9002</c:v>
                </c:pt>
                <c:pt idx="12">
                  <c:v>-0.5</c:v>
                </c:pt>
                <c:pt idx="13">
                  <c:v>1083</c:v>
                </c:pt>
              </c:numCache>
            </c:numRef>
          </c:xVal>
          <c:yVal>
            <c:numRef>
              <c:f>'C'!$M$21:$M$998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C4-4B86-A21B-19301F38C78B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'C'!$F$21:$F$998</c:f>
              <c:numCache>
                <c:formatCode>General</c:formatCode>
                <c:ptCount val="978"/>
                <c:pt idx="0">
                  <c:v>-9268</c:v>
                </c:pt>
                <c:pt idx="1">
                  <c:v>-9267.5</c:v>
                </c:pt>
                <c:pt idx="2">
                  <c:v>-9264</c:v>
                </c:pt>
                <c:pt idx="3">
                  <c:v>-9242.5</c:v>
                </c:pt>
                <c:pt idx="4">
                  <c:v>-9242</c:v>
                </c:pt>
                <c:pt idx="5">
                  <c:v>-9158.5</c:v>
                </c:pt>
                <c:pt idx="6">
                  <c:v>-9137</c:v>
                </c:pt>
                <c:pt idx="7">
                  <c:v>-9133</c:v>
                </c:pt>
                <c:pt idx="8">
                  <c:v>-9129.5</c:v>
                </c:pt>
                <c:pt idx="9">
                  <c:v>-9118.5</c:v>
                </c:pt>
                <c:pt idx="10">
                  <c:v>-9115</c:v>
                </c:pt>
                <c:pt idx="11">
                  <c:v>-9002</c:v>
                </c:pt>
                <c:pt idx="12">
                  <c:v>-0.5</c:v>
                </c:pt>
                <c:pt idx="13">
                  <c:v>1083</c:v>
                </c:pt>
              </c:numCache>
            </c:numRef>
          </c:xVal>
          <c:yVal>
            <c:numRef>
              <c:f>'C'!$N$21:$N$998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C4-4B86-A21B-19301F38C78B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'C'!$F$21:$F$998</c:f>
              <c:numCache>
                <c:formatCode>General</c:formatCode>
                <c:ptCount val="978"/>
                <c:pt idx="0">
                  <c:v>-9268</c:v>
                </c:pt>
                <c:pt idx="1">
                  <c:v>-9267.5</c:v>
                </c:pt>
                <c:pt idx="2">
                  <c:v>-9264</c:v>
                </c:pt>
                <c:pt idx="3">
                  <c:v>-9242.5</c:v>
                </c:pt>
                <c:pt idx="4">
                  <c:v>-9242</c:v>
                </c:pt>
                <c:pt idx="5">
                  <c:v>-9158.5</c:v>
                </c:pt>
                <c:pt idx="6">
                  <c:v>-9137</c:v>
                </c:pt>
                <c:pt idx="7">
                  <c:v>-9133</c:v>
                </c:pt>
                <c:pt idx="8">
                  <c:v>-9129.5</c:v>
                </c:pt>
                <c:pt idx="9">
                  <c:v>-9118.5</c:v>
                </c:pt>
                <c:pt idx="10">
                  <c:v>-9115</c:v>
                </c:pt>
                <c:pt idx="11">
                  <c:v>-9002</c:v>
                </c:pt>
                <c:pt idx="12">
                  <c:v>-0.5</c:v>
                </c:pt>
                <c:pt idx="13">
                  <c:v>1083</c:v>
                </c:pt>
              </c:numCache>
            </c:numRef>
          </c:xVal>
          <c:yVal>
            <c:numRef>
              <c:f>'C'!$O$21:$O$998</c:f>
              <c:numCache>
                <c:formatCode>General</c:formatCode>
                <c:ptCount val="978"/>
                <c:pt idx="0">
                  <c:v>-4.6382820981562706E-4</c:v>
                </c:pt>
                <c:pt idx="1">
                  <c:v>-4.6382820981554472E-4</c:v>
                </c:pt>
                <c:pt idx="2">
                  <c:v>-4.6382820981496819E-4</c:v>
                </c:pt>
                <c:pt idx="3">
                  <c:v>-4.638282098114267E-4</c:v>
                </c:pt>
                <c:pt idx="4">
                  <c:v>-4.6382820981134436E-4</c:v>
                </c:pt>
                <c:pt idx="5">
                  <c:v>-4.6382820979759033E-4</c:v>
                </c:pt>
                <c:pt idx="6">
                  <c:v>-4.6382820979404884E-4</c:v>
                </c:pt>
                <c:pt idx="7">
                  <c:v>-4.6382820979338997E-4</c:v>
                </c:pt>
                <c:pt idx="8">
                  <c:v>-4.6382820979281344E-4</c:v>
                </c:pt>
                <c:pt idx="9">
                  <c:v>-4.6382820979100152E-4</c:v>
                </c:pt>
                <c:pt idx="10">
                  <c:v>-4.63828209790425E-4</c:v>
                </c:pt>
                <c:pt idx="11">
                  <c:v>-4.6382820977181174E-4</c:v>
                </c:pt>
                <c:pt idx="12">
                  <c:v>-4.6382820828909198E-4</c:v>
                </c:pt>
                <c:pt idx="13">
                  <c:v>-4.6382820811061875E-4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C4-4B86-A21B-19301F38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167672"/>
        <c:axId val="1"/>
      </c:scatterChart>
      <c:valAx>
        <c:axId val="735167672"/>
        <c:scaling>
          <c:orientation val="minMax"/>
          <c:max val="11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287511641689945"/>
              <c:y val="0.69257072927233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605706544746422E-2"/>
              <c:y val="0.27330145081558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167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193548387096773"/>
          <c:y val="0.81288343558282206"/>
          <c:w val="0.92096774193548381"/>
          <c:h val="0.972392638036809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28575</xdr:rowOff>
    </xdr:from>
    <xdr:to>
      <xdr:col>17</xdr:col>
      <xdr:colOff>428625</xdr:colOff>
      <xdr:row>18</xdr:row>
      <xdr:rowOff>66675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ED3E3520-36C4-8DE8-2E2C-ED3DA9C07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609600</xdr:colOff>
      <xdr:row>0</xdr:row>
      <xdr:rowOff>38100</xdr:rowOff>
    </xdr:from>
    <xdr:to>
      <xdr:col>27</xdr:col>
      <xdr:colOff>104775</xdr:colOff>
      <xdr:row>18</xdr:row>
      <xdr:rowOff>85725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087BDFE1-B4DE-A3A5-B078-8891139CD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B6694C9-0134-0123-5E9F-B62F2798D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96FEC80-6E83-3020-D7F5-70FEA0D1B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B71B402A-0291-5785-493A-449D4C30A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52230" name="Chart 2">
          <a:extLst>
            <a:ext uri="{FF2B5EF4-FFF2-40B4-BE49-F238E27FC236}">
              <a16:creationId xmlns:a16="http://schemas.microsoft.com/office/drawing/2014/main" id="{DAED5085-567C-1A3C-3713-45D1C695B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87" TargetMode="External"/><Relationship Id="rId13" Type="http://schemas.openxmlformats.org/officeDocument/2006/relationships/hyperlink" Target="http://www.bav-astro.de/sfs/BAVM_link.php?BAVMnr=215" TargetMode="External"/><Relationship Id="rId18" Type="http://schemas.openxmlformats.org/officeDocument/2006/relationships/hyperlink" Target="http://www.konkoly.hu/cgi-bin/IBVS?6153" TargetMode="External"/><Relationship Id="rId26" Type="http://schemas.openxmlformats.org/officeDocument/2006/relationships/hyperlink" Target="http://www.konkoly.hu/cgi-bin/IBVS?5887" TargetMode="External"/><Relationship Id="rId3" Type="http://schemas.openxmlformats.org/officeDocument/2006/relationships/hyperlink" Target="http://www.konkoly.hu/cgi-bin/IBVS?5387" TargetMode="External"/><Relationship Id="rId21" Type="http://schemas.openxmlformats.org/officeDocument/2006/relationships/hyperlink" Target="http://www.konkoly.hu/cgi-bin/IBVS?6153" TargetMode="External"/><Relationship Id="rId34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konkoly.hu/cgi-bin/IBVS?5387" TargetMode="External"/><Relationship Id="rId12" Type="http://schemas.openxmlformats.org/officeDocument/2006/relationships/hyperlink" Target="http://www.konkoly.hu/cgi-bin/IBVS?5387" TargetMode="External"/><Relationship Id="rId17" Type="http://schemas.openxmlformats.org/officeDocument/2006/relationships/hyperlink" Target="http://www.konkoly.hu/cgi-bin/IBVS?6153" TargetMode="External"/><Relationship Id="rId25" Type="http://schemas.openxmlformats.org/officeDocument/2006/relationships/hyperlink" Target="http://www.konkoly.hu/cgi-bin/IBVS?5887" TargetMode="External"/><Relationship Id="rId33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5387" TargetMode="External"/><Relationship Id="rId16" Type="http://schemas.openxmlformats.org/officeDocument/2006/relationships/hyperlink" Target="http://www.konkoly.hu/cgi-bin/IBVS?5760" TargetMode="External"/><Relationship Id="rId20" Type="http://schemas.openxmlformats.org/officeDocument/2006/relationships/hyperlink" Target="http://www.konkoly.hu/cgi-bin/IBVS?6153" TargetMode="External"/><Relationship Id="rId29" Type="http://schemas.openxmlformats.org/officeDocument/2006/relationships/hyperlink" Target="http://www.konkoly.hu/cgi-bin/IBVS?5887" TargetMode="External"/><Relationship Id="rId1" Type="http://schemas.openxmlformats.org/officeDocument/2006/relationships/hyperlink" Target="http://www.konkoly.hu/cgi-bin/IBVS?5387" TargetMode="External"/><Relationship Id="rId6" Type="http://schemas.openxmlformats.org/officeDocument/2006/relationships/hyperlink" Target="http://www.konkoly.hu/cgi-bin/IBVS?5387" TargetMode="External"/><Relationship Id="rId11" Type="http://schemas.openxmlformats.org/officeDocument/2006/relationships/hyperlink" Target="http://www.konkoly.hu/cgi-bin/IBVS?5387" TargetMode="External"/><Relationship Id="rId24" Type="http://schemas.openxmlformats.org/officeDocument/2006/relationships/hyperlink" Target="http://www.konkoly.hu/cgi-bin/IBVS?5887" TargetMode="External"/><Relationship Id="rId32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konkoly.hu/cgi-bin/IBVS?5387" TargetMode="External"/><Relationship Id="rId15" Type="http://schemas.openxmlformats.org/officeDocument/2006/relationships/hyperlink" Target="http://www.konkoly.hu/cgi-bin/IBVS?5672" TargetMode="External"/><Relationship Id="rId23" Type="http://schemas.openxmlformats.org/officeDocument/2006/relationships/hyperlink" Target="http://www.konkoly.hu/cgi-bin/IBVS?5820" TargetMode="External"/><Relationship Id="rId28" Type="http://schemas.openxmlformats.org/officeDocument/2006/relationships/hyperlink" Target="http://www.konkoly.hu/cgi-bin/IBVS?5887" TargetMode="External"/><Relationship Id="rId10" Type="http://schemas.openxmlformats.org/officeDocument/2006/relationships/hyperlink" Target="http://www.konkoly.hu/cgi-bin/IBVS?5387" TargetMode="External"/><Relationship Id="rId19" Type="http://schemas.openxmlformats.org/officeDocument/2006/relationships/hyperlink" Target="http://www.konkoly.hu/cgi-bin/IBVS?6153" TargetMode="External"/><Relationship Id="rId31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konkoly.hu/cgi-bin/IBVS?5387" TargetMode="External"/><Relationship Id="rId9" Type="http://schemas.openxmlformats.org/officeDocument/2006/relationships/hyperlink" Target="http://www.konkoly.hu/cgi-bin/IBVS?5387" TargetMode="External"/><Relationship Id="rId14" Type="http://schemas.openxmlformats.org/officeDocument/2006/relationships/hyperlink" Target="http://www.bav-astro.de/sfs/BAVM_link.php?BAVMnr=228" TargetMode="External"/><Relationship Id="rId22" Type="http://schemas.openxmlformats.org/officeDocument/2006/relationships/hyperlink" Target="http://www.konkoly.hu/cgi-bin/IBVS?6153" TargetMode="External"/><Relationship Id="rId27" Type="http://schemas.openxmlformats.org/officeDocument/2006/relationships/hyperlink" Target="http://www.konkoly.hu/cgi-bin/IBVS?5887" TargetMode="External"/><Relationship Id="rId30" Type="http://schemas.openxmlformats.org/officeDocument/2006/relationships/hyperlink" Target="http://www.konkoly.hu/cgi-bin/IBVS?5929" TargetMode="External"/><Relationship Id="rId35" Type="http://schemas.openxmlformats.org/officeDocument/2006/relationships/hyperlink" Target="http://www.bav-astro.de/sfs/BAVM_link.php?BAVMnr=23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0"/>
  <sheetViews>
    <sheetView tabSelected="1" workbookViewId="0">
      <pane xSplit="14" ySplit="21" topLeftCell="O44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5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59</v>
      </c>
    </row>
    <row r="2" spans="1:6">
      <c r="A2" t="s">
        <v>26</v>
      </c>
      <c r="B2" t="s">
        <v>41</v>
      </c>
      <c r="C2" s="14" t="s">
        <v>43</v>
      </c>
    </row>
    <row r="3" spans="1:6" ht="13.5" thickBot="1">
      <c r="A3" s="11" t="s">
        <v>40</v>
      </c>
    </row>
    <row r="4" spans="1:6" ht="14.25" thickTop="1" thickBot="1">
      <c r="A4" s="8" t="s">
        <v>1</v>
      </c>
      <c r="C4" s="12" t="s">
        <v>32</v>
      </c>
      <c r="D4" s="13" t="s">
        <v>32</v>
      </c>
    </row>
    <row r="5" spans="1:6" ht="13.5" thickTop="1">
      <c r="A5" s="24" t="s">
        <v>45</v>
      </c>
      <c r="B5" s="25"/>
      <c r="C5" s="26">
        <v>-9.5</v>
      </c>
      <c r="D5" s="25" t="s">
        <v>46</v>
      </c>
    </row>
    <row r="6" spans="1:6">
      <c r="A6" s="8" t="s">
        <v>2</v>
      </c>
    </row>
    <row r="7" spans="1:6">
      <c r="A7" t="s">
        <v>3</v>
      </c>
      <c r="C7">
        <v>48362.722399999999</v>
      </c>
      <c r="D7" s="14" t="s">
        <v>33</v>
      </c>
    </row>
    <row r="8" spans="1:6">
      <c r="A8" t="s">
        <v>4</v>
      </c>
      <c r="C8">
        <v>0.27477360000000001</v>
      </c>
      <c r="D8" s="15">
        <v>5387</v>
      </c>
      <c r="E8" s="48" t="s">
        <v>61</v>
      </c>
    </row>
    <row r="9" spans="1:6">
      <c r="A9" s="39" t="s">
        <v>53</v>
      </c>
      <c r="B9" s="15">
        <v>21</v>
      </c>
      <c r="C9" s="38" t="str">
        <f>"F"&amp;B9</f>
        <v>F21</v>
      </c>
      <c r="D9" s="35" t="str">
        <f>"G"&amp;B9</f>
        <v>G21</v>
      </c>
    </row>
    <row r="10" spans="1:6" ht="13.5" thickBot="1">
      <c r="A10" s="25"/>
      <c r="B10" s="25"/>
      <c r="C10" s="7" t="s">
        <v>21</v>
      </c>
      <c r="D10" s="7" t="s">
        <v>22</v>
      </c>
      <c r="E10" s="25"/>
    </row>
    <row r="11" spans="1:6">
      <c r="A11" s="25" t="s">
        <v>17</v>
      </c>
      <c r="B11" s="25"/>
      <c r="C11" s="37">
        <f ca="1">INTERCEPT(INDIRECT($D$9):G990,INDIRECT($C$9):F990)</f>
        <v>-1.6942230080689704E-2</v>
      </c>
      <c r="D11" s="6"/>
      <c r="E11" s="25"/>
    </row>
    <row r="12" spans="1:6">
      <c r="A12" s="25" t="s">
        <v>18</v>
      </c>
      <c r="B12" s="25"/>
      <c r="C12" s="37">
        <f ca="1">SLOPE(INDIRECT($D$9):G990,INDIRECT($C$9):F990)</f>
        <v>1.4594561515685044E-6</v>
      </c>
      <c r="D12" s="6"/>
      <c r="E12" s="25"/>
    </row>
    <row r="13" spans="1:6">
      <c r="A13" s="25" t="s">
        <v>20</v>
      </c>
      <c r="B13" s="25"/>
      <c r="C13" s="6" t="s">
        <v>15</v>
      </c>
    </row>
    <row r="14" spans="1:6">
      <c r="A14" s="25"/>
      <c r="B14" s="25"/>
      <c r="C14" s="25"/>
    </row>
    <row r="15" spans="1:6">
      <c r="A15" s="27" t="s">
        <v>19</v>
      </c>
      <c r="B15" s="25"/>
      <c r="C15" s="22">
        <f ca="1">(C7+C11)+(C8+C12)*INT(MAX(F21:F3531))</f>
        <v>57696.539452435929</v>
      </c>
      <c r="E15" s="28" t="s">
        <v>55</v>
      </c>
      <c r="F15" s="26">
        <v>1</v>
      </c>
    </row>
    <row r="16" spans="1:6">
      <c r="A16" s="30" t="s">
        <v>5</v>
      </c>
      <c r="B16" s="25"/>
      <c r="C16" s="31">
        <f ca="1">+C8+C12</f>
        <v>0.27477505945615155</v>
      </c>
      <c r="E16" s="28" t="s">
        <v>47</v>
      </c>
      <c r="F16" s="29">
        <f ca="1">NOW()+15018.5+$C$5/24</f>
        <v>60346.821291898144</v>
      </c>
    </row>
    <row r="17" spans="1:21" ht="13.5" thickBot="1">
      <c r="A17" s="28" t="s">
        <v>49</v>
      </c>
      <c r="B17" s="25"/>
      <c r="C17" s="25">
        <f>COUNT(C21:C2189)</f>
        <v>40</v>
      </c>
      <c r="E17" s="28" t="s">
        <v>56</v>
      </c>
      <c r="F17" s="29">
        <f ca="1">ROUND(2*(F16-$C$7)/$C$8,0)/2+F15</f>
        <v>43615.5</v>
      </c>
    </row>
    <row r="18" spans="1:21" ht="14.25" thickTop="1" thickBot="1">
      <c r="A18" s="30" t="s">
        <v>6</v>
      </c>
      <c r="B18" s="25"/>
      <c r="C18" s="33">
        <f ca="1">+C15</f>
        <v>57696.539452435929</v>
      </c>
      <c r="D18" s="34">
        <f ca="1">+C16</f>
        <v>0.27477505945615155</v>
      </c>
      <c r="E18" s="28" t="s">
        <v>48</v>
      </c>
      <c r="F18" s="35">
        <f ca="1">ROUND(2*(F16-$C$15)/$C$16,0)/2+F15</f>
        <v>9646.5</v>
      </c>
    </row>
    <row r="19" spans="1:21" ht="13.5" thickTop="1">
      <c r="E19" s="28" t="s">
        <v>50</v>
      </c>
      <c r="F19" s="32">
        <f ca="1">+$C$15+$C$16*F18-15018.5-$C$5/24</f>
        <v>45329.052896813031</v>
      </c>
    </row>
    <row r="20" spans="1:2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70</v>
      </c>
      <c r="I20" s="10" t="s">
        <v>73</v>
      </c>
      <c r="J20" s="10" t="s">
        <v>67</v>
      </c>
      <c r="K20" s="10" t="s">
        <v>65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16</v>
      </c>
      <c r="S20" s="21"/>
      <c r="U20" s="74" t="s">
        <v>0</v>
      </c>
    </row>
    <row r="21" spans="1:21">
      <c r="A21" t="str">
        <f>$D$7</f>
        <v>IBVS</v>
      </c>
      <c r="C21">
        <f>$C$7</f>
        <v>48362.722399999999</v>
      </c>
      <c r="E21">
        <f t="shared" ref="E21:E60" si="0">+(C21-C$7)/C$8</f>
        <v>0</v>
      </c>
      <c r="F21">
        <f t="shared" ref="F21:F60" si="1">ROUND(2*E21,0)/2</f>
        <v>0</v>
      </c>
      <c r="G21">
        <f t="shared" ref="G21:G60" si="2">+C21-(C$7+F21*C$8)</f>
        <v>0</v>
      </c>
      <c r="K21">
        <f>+G21</f>
        <v>0</v>
      </c>
      <c r="O21">
        <f t="shared" ref="O21:O60" ca="1" si="3">+C$11+C$12*$F21</f>
        <v>-1.6942230080689704E-2</v>
      </c>
      <c r="Q21" s="2">
        <f t="shared" ref="Q21:Q60" si="4">+C21-15018.5</f>
        <v>33344.222399999999</v>
      </c>
    </row>
    <row r="22" spans="1:21">
      <c r="A22" s="16" t="s">
        <v>34</v>
      </c>
      <c r="B22" s="17" t="s">
        <v>35</v>
      </c>
      <c r="C22" s="23">
        <v>51185.3344</v>
      </c>
      <c r="D22" s="23">
        <v>4.0000000000000002E-4</v>
      </c>
      <c r="E22">
        <f t="shared" si="0"/>
        <v>10272.500706035809</v>
      </c>
      <c r="F22">
        <f t="shared" si="1"/>
        <v>10272.5</v>
      </c>
      <c r="G22">
        <f t="shared" si="2"/>
        <v>1.9400000019231811E-4</v>
      </c>
      <c r="J22">
        <f t="shared" ref="J22:J36" si="5">+G22</f>
        <v>1.9400000019231811E-4</v>
      </c>
      <c r="O22">
        <f t="shared" ca="1" si="3"/>
        <v>-1.949966763702243E-3</v>
      </c>
      <c r="Q22" s="2">
        <f t="shared" si="4"/>
        <v>36166.8344</v>
      </c>
      <c r="T22" s="8"/>
    </row>
    <row r="23" spans="1:21">
      <c r="A23" s="16" t="s">
        <v>34</v>
      </c>
      <c r="B23" s="40" t="s">
        <v>36</v>
      </c>
      <c r="C23" s="16">
        <v>51185.472999999998</v>
      </c>
      <c r="D23" s="16">
        <v>2.9999999999999997E-4</v>
      </c>
      <c r="E23">
        <f t="shared" si="0"/>
        <v>10273.005121307138</v>
      </c>
      <c r="F23">
        <f t="shared" si="1"/>
        <v>10273</v>
      </c>
      <c r="G23">
        <f t="shared" si="2"/>
        <v>1.4071999976295047E-3</v>
      </c>
      <c r="J23">
        <f t="shared" si="5"/>
        <v>1.4071999976295047E-3</v>
      </c>
      <c r="O23">
        <f t="shared" ca="1" si="3"/>
        <v>-1.9492370356264579E-3</v>
      </c>
      <c r="Q23" s="2">
        <f t="shared" si="4"/>
        <v>36166.972999999998</v>
      </c>
      <c r="T23" s="8"/>
      <c r="U23" s="20"/>
    </row>
    <row r="24" spans="1:21">
      <c r="A24" s="16" t="s">
        <v>34</v>
      </c>
      <c r="B24" s="40" t="s">
        <v>36</v>
      </c>
      <c r="C24" s="16">
        <v>51185.472999999998</v>
      </c>
      <c r="D24" s="16">
        <v>2.9999999999999997E-4</v>
      </c>
      <c r="E24">
        <f t="shared" si="0"/>
        <v>10273.005121307138</v>
      </c>
      <c r="F24">
        <f t="shared" si="1"/>
        <v>10273</v>
      </c>
      <c r="G24">
        <f t="shared" si="2"/>
        <v>1.4071999976295047E-3</v>
      </c>
      <c r="J24">
        <f t="shared" si="5"/>
        <v>1.4071999976295047E-3</v>
      </c>
      <c r="O24">
        <f t="shared" ca="1" si="3"/>
        <v>-1.9492370356264579E-3</v>
      </c>
      <c r="Q24" s="2">
        <f t="shared" si="4"/>
        <v>36166.972999999998</v>
      </c>
      <c r="S24" s="20"/>
      <c r="T24" s="6"/>
      <c r="U24" s="22"/>
    </row>
    <row r="25" spans="1:21">
      <c r="A25" s="16" t="s">
        <v>34</v>
      </c>
      <c r="B25" s="40" t="s">
        <v>35</v>
      </c>
      <c r="C25" s="16">
        <v>51186.434999999998</v>
      </c>
      <c r="D25" s="16">
        <v>2.9999999999999997E-4</v>
      </c>
      <c r="E25">
        <f t="shared" si="0"/>
        <v>10276.50618545595</v>
      </c>
      <c r="F25">
        <f t="shared" si="1"/>
        <v>10276.5</v>
      </c>
      <c r="G25">
        <f t="shared" si="2"/>
        <v>1.6995999976643361E-3</v>
      </c>
      <c r="J25">
        <f t="shared" si="5"/>
        <v>1.6995999976643361E-3</v>
      </c>
      <c r="O25">
        <f t="shared" ca="1" si="3"/>
        <v>-1.9441289390959692E-3</v>
      </c>
      <c r="Q25" s="2">
        <f t="shared" si="4"/>
        <v>36167.934999999998</v>
      </c>
      <c r="S25" s="22"/>
    </row>
    <row r="26" spans="1:21">
      <c r="A26" s="16" t="s">
        <v>34</v>
      </c>
      <c r="B26" s="40" t="s">
        <v>36</v>
      </c>
      <c r="C26" s="16">
        <v>51192.339599999999</v>
      </c>
      <c r="D26" s="16">
        <v>4.0000000000000002E-4</v>
      </c>
      <c r="E26">
        <f t="shared" si="0"/>
        <v>10297.995149461231</v>
      </c>
      <c r="F26">
        <f t="shared" si="1"/>
        <v>10298</v>
      </c>
      <c r="G26">
        <f t="shared" si="2"/>
        <v>-1.3327999986358918E-3</v>
      </c>
      <c r="J26">
        <f t="shared" si="5"/>
        <v>-1.3327999986358918E-3</v>
      </c>
      <c r="O26">
        <f t="shared" ca="1" si="3"/>
        <v>-1.9127506318372452E-3</v>
      </c>
      <c r="Q26" s="2">
        <f t="shared" si="4"/>
        <v>36173.839599999999</v>
      </c>
    </row>
    <row r="27" spans="1:21">
      <c r="A27" s="16" t="s">
        <v>34</v>
      </c>
      <c r="B27" s="40" t="s">
        <v>35</v>
      </c>
      <c r="C27" s="16">
        <v>51192.477200000001</v>
      </c>
      <c r="D27" s="16">
        <v>8.0000000000000004E-4</v>
      </c>
      <c r="E27">
        <f t="shared" si="0"/>
        <v>10298.495925372752</v>
      </c>
      <c r="F27">
        <f t="shared" si="1"/>
        <v>10298.5</v>
      </c>
      <c r="G27">
        <f t="shared" si="2"/>
        <v>-1.1195999977644533E-3</v>
      </c>
      <c r="J27">
        <f t="shared" si="5"/>
        <v>-1.1195999977644533E-3</v>
      </c>
      <c r="O27">
        <f t="shared" ca="1" si="3"/>
        <v>-1.9120209037614619E-3</v>
      </c>
      <c r="Q27" s="2">
        <f t="shared" si="4"/>
        <v>36173.977200000001</v>
      </c>
    </row>
    <row r="28" spans="1:21">
      <c r="A28" s="16" t="s">
        <v>34</v>
      </c>
      <c r="B28" s="40" t="s">
        <v>36</v>
      </c>
      <c r="C28" s="16">
        <v>51215.421699999999</v>
      </c>
      <c r="D28" s="16">
        <v>2.0000000000000001E-4</v>
      </c>
      <c r="E28">
        <f t="shared" si="0"/>
        <v>10381.999216809767</v>
      </c>
      <c r="F28">
        <f t="shared" si="1"/>
        <v>10382</v>
      </c>
      <c r="G28">
        <f t="shared" si="2"/>
        <v>-2.1520000154851004E-4</v>
      </c>
      <c r="J28">
        <f t="shared" si="5"/>
        <v>-2.1520000154851004E-4</v>
      </c>
      <c r="O28">
        <f t="shared" ca="1" si="3"/>
        <v>-1.7901563151054914E-3</v>
      </c>
      <c r="Q28" s="2">
        <f t="shared" si="4"/>
        <v>36196.921699999999</v>
      </c>
    </row>
    <row r="29" spans="1:21">
      <c r="A29" s="16" t="s">
        <v>34</v>
      </c>
      <c r="B29" s="40" t="s">
        <v>35</v>
      </c>
      <c r="C29" s="16">
        <v>51221.3292</v>
      </c>
      <c r="D29" s="16">
        <v>2.0000000000000001E-4</v>
      </c>
      <c r="E29">
        <f t="shared" si="0"/>
        <v>10403.49873495853</v>
      </c>
      <c r="F29">
        <f t="shared" si="1"/>
        <v>10403.5</v>
      </c>
      <c r="G29">
        <f t="shared" si="2"/>
        <v>-3.4759999834932387E-4</v>
      </c>
      <c r="J29">
        <f t="shared" si="5"/>
        <v>-3.4759999834932387E-4</v>
      </c>
      <c r="O29">
        <f t="shared" ca="1" si="3"/>
        <v>-1.7587780078467691E-3</v>
      </c>
      <c r="Q29" s="2">
        <f t="shared" si="4"/>
        <v>36202.8292</v>
      </c>
    </row>
    <row r="30" spans="1:21">
      <c r="A30" s="16" t="s">
        <v>34</v>
      </c>
      <c r="B30" s="40" t="s">
        <v>35</v>
      </c>
      <c r="C30" s="16">
        <v>51222.427499999998</v>
      </c>
      <c r="D30" s="16">
        <v>2.0000000000000001E-4</v>
      </c>
      <c r="E30">
        <f t="shared" si="0"/>
        <v>10407.49584385108</v>
      </c>
      <c r="F30">
        <f t="shared" si="1"/>
        <v>10407.5</v>
      </c>
      <c r="G30">
        <f t="shared" si="2"/>
        <v>-1.1420000009820797E-3</v>
      </c>
      <c r="J30">
        <f t="shared" si="5"/>
        <v>-1.1420000009820797E-3</v>
      </c>
      <c r="O30">
        <f t="shared" ca="1" si="3"/>
        <v>-1.7529401832404937E-3</v>
      </c>
      <c r="Q30" s="2">
        <f t="shared" si="4"/>
        <v>36203.927499999998</v>
      </c>
    </row>
    <row r="31" spans="1:21">
      <c r="A31" s="16" t="s">
        <v>34</v>
      </c>
      <c r="B31" s="40" t="s">
        <v>36</v>
      </c>
      <c r="C31" s="16">
        <v>51223.390399999997</v>
      </c>
      <c r="D31" s="16">
        <v>5.0000000000000001E-4</v>
      </c>
      <c r="E31">
        <f t="shared" si="0"/>
        <v>10411.000183423726</v>
      </c>
      <c r="F31">
        <f t="shared" si="1"/>
        <v>10411</v>
      </c>
      <c r="G31">
        <f t="shared" si="2"/>
        <v>5.0399998144712299E-5</v>
      </c>
      <c r="J31">
        <f t="shared" si="5"/>
        <v>5.0399998144712299E-5</v>
      </c>
      <c r="O31">
        <f t="shared" ca="1" si="3"/>
        <v>-1.747832086710005E-3</v>
      </c>
      <c r="Q31" s="2">
        <f t="shared" si="4"/>
        <v>36204.890399999997</v>
      </c>
    </row>
    <row r="32" spans="1:21">
      <c r="A32" s="16" t="s">
        <v>34</v>
      </c>
      <c r="B32" s="40" t="s">
        <v>36</v>
      </c>
      <c r="C32" s="16">
        <v>51226.413099999998</v>
      </c>
      <c r="D32" s="16">
        <v>5.0000000000000001E-4</v>
      </c>
      <c r="E32">
        <f t="shared" si="0"/>
        <v>10422.000876357843</v>
      </c>
      <c r="F32">
        <f t="shared" si="1"/>
        <v>10422</v>
      </c>
      <c r="G32">
        <f t="shared" si="2"/>
        <v>2.4080000002868474E-4</v>
      </c>
      <c r="J32">
        <f t="shared" si="5"/>
        <v>2.4080000002868474E-4</v>
      </c>
      <c r="O32">
        <f t="shared" ca="1" si="3"/>
        <v>-1.7317780690427505E-3</v>
      </c>
      <c r="Q32" s="2">
        <f t="shared" si="4"/>
        <v>36207.913099999998</v>
      </c>
    </row>
    <row r="33" spans="1:21">
      <c r="A33" s="16" t="s">
        <v>34</v>
      </c>
      <c r="B33" s="40" t="s">
        <v>35</v>
      </c>
      <c r="C33" s="16">
        <v>51227.372300000003</v>
      </c>
      <c r="D33" s="16">
        <v>5.9999999999999995E-4</v>
      </c>
      <c r="E33">
        <f t="shared" si="0"/>
        <v>10425.49175029917</v>
      </c>
      <c r="F33">
        <f t="shared" si="1"/>
        <v>10425.5</v>
      </c>
      <c r="G33">
        <f t="shared" si="2"/>
        <v>-2.2667999946861528E-3</v>
      </c>
      <c r="J33">
        <f t="shared" si="5"/>
        <v>-2.2667999946861528E-3</v>
      </c>
      <c r="O33">
        <f t="shared" ca="1" si="3"/>
        <v>-1.7266699725122618E-3</v>
      </c>
      <c r="Q33" s="2">
        <f t="shared" si="4"/>
        <v>36208.872300000003</v>
      </c>
    </row>
    <row r="34" spans="1:21">
      <c r="A34" s="16" t="s">
        <v>34</v>
      </c>
      <c r="B34" s="40" t="s">
        <v>35</v>
      </c>
      <c r="C34" s="16">
        <v>51258.423999999999</v>
      </c>
      <c r="D34" s="16">
        <v>4.0000000000000002E-4</v>
      </c>
      <c r="E34">
        <f t="shared" si="0"/>
        <v>10538.500059685502</v>
      </c>
      <c r="F34">
        <f t="shared" si="1"/>
        <v>10538.5</v>
      </c>
      <c r="G34">
        <f t="shared" si="2"/>
        <v>1.6400001186411828E-5</v>
      </c>
      <c r="J34">
        <f t="shared" si="5"/>
        <v>1.6400001186411828E-5</v>
      </c>
      <c r="O34">
        <f t="shared" ca="1" si="3"/>
        <v>-1.5617514273850198E-3</v>
      </c>
      <c r="Q34" s="2">
        <f t="shared" si="4"/>
        <v>36239.923999999999</v>
      </c>
    </row>
    <row r="35" spans="1:21">
      <c r="A35" s="44" t="s">
        <v>57</v>
      </c>
      <c r="B35" s="45" t="s">
        <v>36</v>
      </c>
      <c r="C35" s="36">
        <v>53446.311999999998</v>
      </c>
      <c r="D35" s="36">
        <v>2.8E-3</v>
      </c>
      <c r="E35">
        <f t="shared" si="0"/>
        <v>18501.011742030529</v>
      </c>
      <c r="F35">
        <f t="shared" si="1"/>
        <v>18501</v>
      </c>
      <c r="G35">
        <f t="shared" si="2"/>
        <v>3.2263999964925461E-3</v>
      </c>
      <c r="J35">
        <f t="shared" si="5"/>
        <v>3.2263999964925461E-3</v>
      </c>
      <c r="O35">
        <f t="shared" ca="1" si="3"/>
        <v>1.0059168179479196E-2</v>
      </c>
      <c r="Q35" s="2">
        <f t="shared" si="4"/>
        <v>38427.811999999998</v>
      </c>
    </row>
    <row r="36" spans="1:21">
      <c r="A36" s="46" t="s">
        <v>60</v>
      </c>
      <c r="B36" s="46"/>
      <c r="C36" s="47">
        <v>53446.311999999998</v>
      </c>
      <c r="D36" s="47">
        <v>2.8E-3</v>
      </c>
      <c r="E36">
        <f t="shared" si="0"/>
        <v>18501.011742030529</v>
      </c>
      <c r="F36">
        <f t="shared" si="1"/>
        <v>18501</v>
      </c>
      <c r="G36">
        <f t="shared" si="2"/>
        <v>3.2263999964925461E-3</v>
      </c>
      <c r="J36">
        <f t="shared" si="5"/>
        <v>3.2263999964925461E-3</v>
      </c>
      <c r="O36">
        <f t="shared" ca="1" si="3"/>
        <v>1.0059168179479196E-2</v>
      </c>
      <c r="Q36" s="2">
        <f t="shared" si="4"/>
        <v>38427.811999999998</v>
      </c>
    </row>
    <row r="37" spans="1:21">
      <c r="A37" s="19" t="s">
        <v>39</v>
      </c>
      <c r="B37" s="40"/>
      <c r="C37" s="41">
        <v>53731.942300000002</v>
      </c>
      <c r="D37" s="41">
        <v>2.9999999999999997E-4</v>
      </c>
      <c r="E37">
        <f t="shared" si="0"/>
        <v>19540.523179810592</v>
      </c>
      <c r="F37">
        <f t="shared" si="1"/>
        <v>19540.5</v>
      </c>
      <c r="G37">
        <f t="shared" si="2"/>
        <v>6.369200003973674E-3</v>
      </c>
      <c r="K37">
        <f t="shared" ref="K37:K45" si="6">+G37</f>
        <v>6.369200003973674E-3</v>
      </c>
      <c r="O37">
        <f t="shared" ca="1" si="3"/>
        <v>1.1576272849034657E-2</v>
      </c>
      <c r="Q37" s="2">
        <f t="shared" si="4"/>
        <v>38713.442300000002</v>
      </c>
      <c r="U37" s="35"/>
    </row>
    <row r="38" spans="1:21">
      <c r="A38" s="19" t="s">
        <v>44</v>
      </c>
      <c r="B38" s="42"/>
      <c r="C38" s="41">
        <v>54029.6757</v>
      </c>
      <c r="D38" s="41">
        <v>2.9999999999999997E-4</v>
      </c>
      <c r="E38">
        <f t="shared" si="0"/>
        <v>20624.082153452884</v>
      </c>
      <c r="F38">
        <f t="shared" si="1"/>
        <v>20624</v>
      </c>
      <c r="G38">
        <f t="shared" si="2"/>
        <v>2.2573599999304861E-2</v>
      </c>
      <c r="K38">
        <f t="shared" si="6"/>
        <v>2.2573599999304861E-2</v>
      </c>
      <c r="O38">
        <f t="shared" ca="1" si="3"/>
        <v>1.315759358925913E-2</v>
      </c>
      <c r="Q38" s="2">
        <f t="shared" si="4"/>
        <v>39011.1757</v>
      </c>
    </row>
    <row r="39" spans="1:21">
      <c r="A39" s="49" t="s">
        <v>62</v>
      </c>
      <c r="B39" s="50" t="s">
        <v>35</v>
      </c>
      <c r="C39" s="49">
        <v>54066.476900000001</v>
      </c>
      <c r="D39" s="49">
        <v>2.9999999999999997E-4</v>
      </c>
      <c r="E39">
        <f t="shared" si="0"/>
        <v>20758.014962136109</v>
      </c>
      <c r="F39">
        <f t="shared" si="1"/>
        <v>20758</v>
      </c>
      <c r="G39">
        <f t="shared" si="2"/>
        <v>4.1112000035354868E-3</v>
      </c>
      <c r="K39">
        <f t="shared" si="6"/>
        <v>4.1112000035354868E-3</v>
      </c>
      <c r="O39">
        <f t="shared" ca="1" si="3"/>
        <v>1.3353160713569311E-2</v>
      </c>
      <c r="Q39" s="2">
        <f t="shared" si="4"/>
        <v>39047.976900000001</v>
      </c>
    </row>
    <row r="40" spans="1:21">
      <c r="A40" s="49" t="s">
        <v>62</v>
      </c>
      <c r="B40" s="50" t="s">
        <v>36</v>
      </c>
      <c r="C40" s="49">
        <v>54066.614999999998</v>
      </c>
      <c r="D40" s="49">
        <v>2.9999999999999997E-4</v>
      </c>
      <c r="E40">
        <f t="shared" si="0"/>
        <v>20758.517557727522</v>
      </c>
      <c r="F40">
        <f t="shared" si="1"/>
        <v>20758.5</v>
      </c>
      <c r="G40">
        <f t="shared" si="2"/>
        <v>4.8243999990518205E-3</v>
      </c>
      <c r="K40">
        <f t="shared" si="6"/>
        <v>4.8243999990518205E-3</v>
      </c>
      <c r="O40">
        <f t="shared" ca="1" si="3"/>
        <v>1.3353890441645096E-2</v>
      </c>
      <c r="Q40" s="2">
        <f t="shared" si="4"/>
        <v>39048.114999999998</v>
      </c>
    </row>
    <row r="41" spans="1:21">
      <c r="A41" s="49" t="s">
        <v>62</v>
      </c>
      <c r="B41" s="50" t="s">
        <v>36</v>
      </c>
      <c r="C41" s="49">
        <v>54067.439100000003</v>
      </c>
      <c r="D41" s="49">
        <v>4.0000000000000002E-4</v>
      </c>
      <c r="E41">
        <f t="shared" si="0"/>
        <v>20761.516754156892</v>
      </c>
      <c r="F41">
        <f t="shared" si="1"/>
        <v>20761.5</v>
      </c>
      <c r="G41">
        <f t="shared" si="2"/>
        <v>4.6036000057938509E-3</v>
      </c>
      <c r="K41">
        <f t="shared" si="6"/>
        <v>4.6036000057938509E-3</v>
      </c>
      <c r="O41">
        <f t="shared" ca="1" si="3"/>
        <v>1.3358268810099799E-2</v>
      </c>
      <c r="Q41" s="2">
        <f t="shared" si="4"/>
        <v>39048.939100000003</v>
      </c>
    </row>
    <row r="42" spans="1:21">
      <c r="A42" s="49" t="s">
        <v>62</v>
      </c>
      <c r="B42" s="50" t="s">
        <v>35</v>
      </c>
      <c r="C42" s="49">
        <v>54067.576099999998</v>
      </c>
      <c r="D42" s="49">
        <v>2.9999999999999997E-4</v>
      </c>
      <c r="E42">
        <f t="shared" si="0"/>
        <v>20762.015346452496</v>
      </c>
      <c r="F42">
        <f t="shared" si="1"/>
        <v>20762</v>
      </c>
      <c r="G42">
        <f t="shared" si="2"/>
        <v>4.2167999999946915E-3</v>
      </c>
      <c r="K42">
        <f t="shared" si="6"/>
        <v>4.2167999999946915E-3</v>
      </c>
      <c r="O42">
        <f t="shared" ca="1" si="3"/>
        <v>1.3358998538175584E-2</v>
      </c>
      <c r="Q42" s="2">
        <f t="shared" si="4"/>
        <v>39049.076099999998</v>
      </c>
    </row>
    <row r="43" spans="1:21">
      <c r="A43" s="49" t="s">
        <v>62</v>
      </c>
      <c r="B43" s="50" t="s">
        <v>36</v>
      </c>
      <c r="C43" s="49">
        <v>54068.538099999998</v>
      </c>
      <c r="D43" s="49">
        <v>2.0000000000000001E-4</v>
      </c>
      <c r="E43">
        <f t="shared" si="0"/>
        <v>20765.516410601307</v>
      </c>
      <c r="F43">
        <f t="shared" si="1"/>
        <v>20765.5</v>
      </c>
      <c r="G43">
        <f t="shared" si="2"/>
        <v>4.5092000000295229E-3</v>
      </c>
      <c r="K43">
        <f t="shared" si="6"/>
        <v>4.5092000000295229E-3</v>
      </c>
      <c r="O43">
        <f t="shared" ca="1" si="3"/>
        <v>1.3364106634706073E-2</v>
      </c>
      <c r="Q43" s="2">
        <f t="shared" si="4"/>
        <v>39050.038099999998</v>
      </c>
    </row>
    <row r="44" spans="1:21">
      <c r="A44" s="49" t="s">
        <v>62</v>
      </c>
      <c r="B44" s="50" t="s">
        <v>35</v>
      </c>
      <c r="C44" s="49">
        <v>54068.674800000001</v>
      </c>
      <c r="D44" s="49">
        <v>4.0000000000000002E-4</v>
      </c>
      <c r="E44">
        <f t="shared" si="0"/>
        <v>20766.01391108899</v>
      </c>
      <c r="F44">
        <f t="shared" si="1"/>
        <v>20766</v>
      </c>
      <c r="G44">
        <f t="shared" si="2"/>
        <v>3.822400001809001E-3</v>
      </c>
      <c r="K44">
        <f t="shared" si="6"/>
        <v>3.822400001809001E-3</v>
      </c>
      <c r="O44">
        <f t="shared" ca="1" si="3"/>
        <v>1.3364836362781858E-2</v>
      </c>
      <c r="Q44" s="2">
        <f t="shared" si="4"/>
        <v>39050.174800000001</v>
      </c>
    </row>
    <row r="45" spans="1:21">
      <c r="A45" s="19" t="s">
        <v>51</v>
      </c>
      <c r="B45" s="42"/>
      <c r="C45" s="41">
        <v>54155.644</v>
      </c>
      <c r="D45" s="41">
        <v>2.9999999999999997E-4</v>
      </c>
      <c r="E45">
        <f t="shared" si="0"/>
        <v>21082.526123324809</v>
      </c>
      <c r="F45">
        <f t="shared" si="1"/>
        <v>21082.5</v>
      </c>
      <c r="G45">
        <f t="shared" si="2"/>
        <v>7.1779999998398125E-3</v>
      </c>
      <c r="K45">
        <f t="shared" si="6"/>
        <v>7.1779999998398125E-3</v>
      </c>
      <c r="O45">
        <f t="shared" ca="1" si="3"/>
        <v>1.382675423475329E-2</v>
      </c>
      <c r="Q45" s="2">
        <f t="shared" si="4"/>
        <v>39137.144</v>
      </c>
      <c r="U45" s="35"/>
    </row>
    <row r="46" spans="1:21">
      <c r="A46" s="41" t="s">
        <v>52</v>
      </c>
      <c r="B46" s="43" t="s">
        <v>36</v>
      </c>
      <c r="C46" s="41">
        <v>54844.368000000002</v>
      </c>
      <c r="D46" s="41">
        <v>2.0000000000000001E-4</v>
      </c>
      <c r="E46">
        <f t="shared" si="0"/>
        <v>23589.040577406286</v>
      </c>
      <c r="F46">
        <f t="shared" si="1"/>
        <v>23589</v>
      </c>
      <c r="G46">
        <f t="shared" si="2"/>
        <v>1.1149600002681836E-2</v>
      </c>
      <c r="J46">
        <f t="shared" ref="J46:J51" si="7">+G46</f>
        <v>1.1149600002681836E-2</v>
      </c>
      <c r="O46">
        <f t="shared" ca="1" si="3"/>
        <v>1.748488107865975E-2</v>
      </c>
      <c r="Q46" s="2">
        <f t="shared" si="4"/>
        <v>39825.868000000002</v>
      </c>
    </row>
    <row r="47" spans="1:21">
      <c r="A47" s="41" t="s">
        <v>52</v>
      </c>
      <c r="B47" s="43" t="s">
        <v>35</v>
      </c>
      <c r="C47" s="41">
        <v>54844.502899999999</v>
      </c>
      <c r="D47" s="41">
        <v>1E-4</v>
      </c>
      <c r="E47">
        <f t="shared" si="0"/>
        <v>23589.531527046267</v>
      </c>
      <c r="F47">
        <f t="shared" si="1"/>
        <v>23589.5</v>
      </c>
      <c r="G47">
        <f t="shared" si="2"/>
        <v>8.6627999990014359E-3</v>
      </c>
      <c r="J47">
        <f t="shared" si="7"/>
        <v>8.6627999990014359E-3</v>
      </c>
      <c r="O47">
        <f t="shared" ca="1" si="3"/>
        <v>1.7485610806735528E-2</v>
      </c>
      <c r="Q47" s="2">
        <f t="shared" si="4"/>
        <v>39826.002899999999</v>
      </c>
      <c r="U47" s="35"/>
    </row>
    <row r="48" spans="1:21">
      <c r="A48" s="41" t="s">
        <v>52</v>
      </c>
      <c r="B48" s="43" t="s">
        <v>36</v>
      </c>
      <c r="C48" s="41">
        <v>54845.469499999999</v>
      </c>
      <c r="D48" s="41">
        <v>1E-4</v>
      </c>
      <c r="E48">
        <f t="shared" si="0"/>
        <v>23593.049332250263</v>
      </c>
      <c r="F48">
        <f t="shared" si="1"/>
        <v>23593</v>
      </c>
      <c r="G48">
        <f t="shared" si="2"/>
        <v>1.3555199999245815E-2</v>
      </c>
      <c r="J48">
        <f t="shared" si="7"/>
        <v>1.3555199999245815E-2</v>
      </c>
      <c r="O48">
        <f t="shared" ca="1" si="3"/>
        <v>1.7490718903266023E-2</v>
      </c>
      <c r="Q48" s="2">
        <f t="shared" si="4"/>
        <v>39826.969499999999</v>
      </c>
    </row>
    <row r="49" spans="1:21">
      <c r="A49" s="41" t="s">
        <v>52</v>
      </c>
      <c r="B49" s="43" t="s">
        <v>35</v>
      </c>
      <c r="C49" s="41">
        <v>54845.6031</v>
      </c>
      <c r="D49" s="41">
        <v>2.0000000000000001E-4</v>
      </c>
      <c r="E49">
        <f t="shared" si="0"/>
        <v>23593.535550722492</v>
      </c>
      <c r="F49">
        <f t="shared" si="1"/>
        <v>23593.5</v>
      </c>
      <c r="G49">
        <f t="shared" si="2"/>
        <v>9.7683999993023463E-3</v>
      </c>
      <c r="J49">
        <f t="shared" si="7"/>
        <v>9.7683999993023463E-3</v>
      </c>
      <c r="O49">
        <f t="shared" ca="1" si="3"/>
        <v>1.7491448631341801E-2</v>
      </c>
      <c r="Q49" s="2">
        <f t="shared" si="4"/>
        <v>39827.1031</v>
      </c>
      <c r="U49" s="35"/>
    </row>
    <row r="50" spans="1:21">
      <c r="A50" s="41" t="s">
        <v>52</v>
      </c>
      <c r="B50" s="43" t="s">
        <v>36</v>
      </c>
      <c r="C50" s="41">
        <v>54851.512000000002</v>
      </c>
      <c r="D50" s="41">
        <v>2.0000000000000001E-4</v>
      </c>
      <c r="E50">
        <f t="shared" si="0"/>
        <v>23615.040163975009</v>
      </c>
      <c r="F50">
        <f t="shared" si="1"/>
        <v>23615</v>
      </c>
      <c r="G50">
        <f t="shared" si="2"/>
        <v>1.1036000003514346E-2</v>
      </c>
      <c r="J50">
        <f t="shared" si="7"/>
        <v>1.1036000003514346E-2</v>
      </c>
      <c r="O50">
        <f t="shared" ca="1" si="3"/>
        <v>1.7522826938600525E-2</v>
      </c>
      <c r="Q50" s="2">
        <f t="shared" si="4"/>
        <v>39833.012000000002</v>
      </c>
      <c r="U50" s="35"/>
    </row>
    <row r="51" spans="1:21">
      <c r="A51" s="41" t="s">
        <v>52</v>
      </c>
      <c r="B51" s="43" t="s">
        <v>35</v>
      </c>
      <c r="C51" s="41">
        <v>54851.648800000003</v>
      </c>
      <c r="D51" s="41">
        <v>2.0000000000000001E-4</v>
      </c>
      <c r="E51">
        <f t="shared" si="0"/>
        <v>23615.538028398667</v>
      </c>
      <c r="F51">
        <f t="shared" si="1"/>
        <v>23615.5</v>
      </c>
      <c r="G51">
        <f t="shared" si="2"/>
        <v>1.0449200002767611E-2</v>
      </c>
      <c r="J51">
        <f t="shared" si="7"/>
        <v>1.0449200002767611E-2</v>
      </c>
      <c r="O51">
        <f t="shared" ca="1" si="3"/>
        <v>1.7523556666676311E-2</v>
      </c>
      <c r="Q51" s="2">
        <f t="shared" si="4"/>
        <v>39833.148800000003</v>
      </c>
    </row>
    <row r="52" spans="1:21">
      <c r="A52" s="19" t="s">
        <v>54</v>
      </c>
      <c r="B52" s="42"/>
      <c r="C52" s="41">
        <v>54862.637999999999</v>
      </c>
      <c r="D52" s="41">
        <v>1E-3</v>
      </c>
      <c r="E52">
        <f t="shared" si="0"/>
        <v>23655.531681355122</v>
      </c>
      <c r="F52">
        <f t="shared" si="1"/>
        <v>23655.5</v>
      </c>
      <c r="G52">
        <f t="shared" si="2"/>
        <v>8.7052000017138198E-3</v>
      </c>
      <c r="K52">
        <f>+G52</f>
        <v>8.7052000017138198E-3</v>
      </c>
      <c r="O52">
        <f t="shared" ca="1" si="3"/>
        <v>1.7581934912739055E-2</v>
      </c>
      <c r="Q52" s="2">
        <f t="shared" si="4"/>
        <v>39844.137999999999</v>
      </c>
    </row>
    <row r="53" spans="1:21">
      <c r="A53" s="65" t="s">
        <v>57</v>
      </c>
      <c r="B53" s="66" t="s">
        <v>36</v>
      </c>
      <c r="C53" s="67">
        <v>56003.380499999999</v>
      </c>
      <c r="D53" s="67">
        <v>1.2999999999999999E-3</v>
      </c>
      <c r="E53">
        <f t="shared" si="0"/>
        <v>27807.10410315984</v>
      </c>
      <c r="F53">
        <f t="shared" si="1"/>
        <v>27807</v>
      </c>
      <c r="G53">
        <f t="shared" si="2"/>
        <v>2.8604799997992814E-2</v>
      </c>
      <c r="J53">
        <f>+G53</f>
        <v>2.8604799997992814E-2</v>
      </c>
      <c r="O53">
        <f t="shared" ca="1" si="3"/>
        <v>2.3640867125975702E-2</v>
      </c>
      <c r="Q53" s="2">
        <f t="shared" si="4"/>
        <v>40984.880499999999</v>
      </c>
    </row>
    <row r="54" spans="1:21">
      <c r="A54" s="65" t="s">
        <v>57</v>
      </c>
      <c r="B54" s="66" t="s">
        <v>35</v>
      </c>
      <c r="C54" s="67">
        <v>56003.513400000003</v>
      </c>
      <c r="D54" s="67">
        <v>2.8E-3</v>
      </c>
      <c r="E54">
        <f t="shared" si="0"/>
        <v>27807.587774080206</v>
      </c>
      <c r="F54">
        <f t="shared" si="1"/>
        <v>27807.5</v>
      </c>
      <c r="G54">
        <f t="shared" si="2"/>
        <v>2.4118000008456875E-2</v>
      </c>
      <c r="J54">
        <f>+G54</f>
        <v>2.4118000008456875E-2</v>
      </c>
      <c r="O54">
        <f t="shared" ca="1" si="3"/>
        <v>2.364159685405148E-2</v>
      </c>
      <c r="Q54" s="2">
        <f t="shared" si="4"/>
        <v>40985.013400000003</v>
      </c>
    </row>
    <row r="55" spans="1:21">
      <c r="A55" s="65" t="s">
        <v>57</v>
      </c>
      <c r="B55" s="66" t="s">
        <v>36</v>
      </c>
      <c r="C55" s="67">
        <v>56014.374300000003</v>
      </c>
      <c r="D55" s="67">
        <v>2.0999999999999999E-3</v>
      </c>
      <c r="E55">
        <f t="shared" si="0"/>
        <v>27847.114497171504</v>
      </c>
      <c r="F55">
        <f t="shared" si="1"/>
        <v>27847</v>
      </c>
      <c r="G55">
        <f t="shared" si="2"/>
        <v>3.1460800004424527E-2</v>
      </c>
      <c r="J55">
        <f>+G55</f>
        <v>3.1460800004424527E-2</v>
      </c>
      <c r="O55">
        <f t="shared" ca="1" si="3"/>
        <v>2.3699245372038439E-2</v>
      </c>
      <c r="Q55" s="2">
        <f t="shared" si="4"/>
        <v>40995.874300000003</v>
      </c>
    </row>
    <row r="56" spans="1:21">
      <c r="A56" s="65" t="s">
        <v>57</v>
      </c>
      <c r="B56" s="66" t="s">
        <v>35</v>
      </c>
      <c r="C56" s="67">
        <v>56014.518199999999</v>
      </c>
      <c r="D56" s="67">
        <v>2.8999999999999998E-3</v>
      </c>
      <c r="E56">
        <f t="shared" si="0"/>
        <v>27847.638201049882</v>
      </c>
      <c r="F56">
        <f t="shared" si="1"/>
        <v>27847.5</v>
      </c>
      <c r="G56">
        <f t="shared" si="2"/>
        <v>3.7973999998939689E-2</v>
      </c>
      <c r="J56">
        <f>+G56</f>
        <v>3.7973999998939689E-2</v>
      </c>
      <c r="O56">
        <f t="shared" ca="1" si="3"/>
        <v>2.3699975100114224E-2</v>
      </c>
      <c r="Q56" s="2">
        <f t="shared" si="4"/>
        <v>40996.018199999999</v>
      </c>
    </row>
    <row r="57" spans="1:21">
      <c r="A57" s="67" t="s">
        <v>58</v>
      </c>
      <c r="B57" s="66" t="s">
        <v>36</v>
      </c>
      <c r="C57" s="67">
        <v>56355.3776</v>
      </c>
      <c r="D57" s="67">
        <v>2.5999999999999999E-3</v>
      </c>
      <c r="E57">
        <f t="shared" si="0"/>
        <v>29088.148206377908</v>
      </c>
      <c r="F57">
        <f t="shared" si="1"/>
        <v>29088</v>
      </c>
      <c r="G57">
        <f t="shared" si="2"/>
        <v>4.0723199999774806E-2</v>
      </c>
      <c r="J57">
        <f>+G57</f>
        <v>4.0723199999774806E-2</v>
      </c>
      <c r="O57">
        <f t="shared" ca="1" si="3"/>
        <v>2.5510430456134953E-2</v>
      </c>
      <c r="Q57" s="2">
        <f t="shared" si="4"/>
        <v>41336.8776</v>
      </c>
    </row>
    <row r="58" spans="1:21">
      <c r="A58" s="75" t="s">
        <v>208</v>
      </c>
      <c r="B58" s="76" t="s">
        <v>35</v>
      </c>
      <c r="C58" s="77">
        <v>57065.406940000132</v>
      </c>
      <c r="D58" s="77">
        <v>5.9999999999999995E-4</v>
      </c>
      <c r="E58">
        <f t="shared" si="0"/>
        <v>31672.20045885097</v>
      </c>
      <c r="F58">
        <f t="shared" si="1"/>
        <v>31672</v>
      </c>
      <c r="G58">
        <f t="shared" si="2"/>
        <v>5.50808001353289E-2</v>
      </c>
      <c r="K58">
        <f>+G58</f>
        <v>5.50808001353289E-2</v>
      </c>
      <c r="O58">
        <f t="shared" ca="1" si="3"/>
        <v>2.9281665151787966E-2</v>
      </c>
      <c r="Q58" s="2">
        <f t="shared" si="4"/>
        <v>42046.906940000132</v>
      </c>
    </row>
    <row r="59" spans="1:21">
      <c r="A59" s="71" t="s">
        <v>207</v>
      </c>
      <c r="B59" s="72" t="s">
        <v>35</v>
      </c>
      <c r="C59" s="73">
        <v>57065.410239999997</v>
      </c>
      <c r="D59" s="73">
        <v>6.9999999999999999E-4</v>
      </c>
      <c r="E59">
        <f t="shared" si="0"/>
        <v>31672.212468737893</v>
      </c>
      <c r="F59">
        <f t="shared" si="1"/>
        <v>31672</v>
      </c>
      <c r="G59">
        <f t="shared" si="2"/>
        <v>5.8380800001032185E-2</v>
      </c>
      <c r="K59">
        <f>+G59</f>
        <v>5.8380800001032185E-2</v>
      </c>
      <c r="O59">
        <f t="shared" ca="1" si="3"/>
        <v>2.9281665151787966E-2</v>
      </c>
      <c r="Q59" s="2">
        <f t="shared" si="4"/>
        <v>42046.910239999997</v>
      </c>
    </row>
    <row r="60" spans="1:21">
      <c r="A60" s="68" t="s">
        <v>206</v>
      </c>
      <c r="B60" s="69" t="s">
        <v>36</v>
      </c>
      <c r="C60" s="70">
        <v>57696.522069999999</v>
      </c>
      <c r="D60" s="70">
        <v>1.9000000000000001E-4</v>
      </c>
      <c r="E60">
        <f t="shared" si="0"/>
        <v>33969.055506060264</v>
      </c>
      <c r="F60">
        <f t="shared" si="1"/>
        <v>33969</v>
      </c>
      <c r="G60">
        <f t="shared" si="2"/>
        <v>1.5251600001647603E-2</v>
      </c>
      <c r="K60">
        <f>+G60</f>
        <v>1.5251600001647603E-2</v>
      </c>
      <c r="O60">
        <f t="shared" ca="1" si="3"/>
        <v>3.2634035931940822E-2</v>
      </c>
      <c r="Q60" s="2">
        <f t="shared" si="4"/>
        <v>42678.022069999999</v>
      </c>
    </row>
  </sheetData>
  <protectedRanges>
    <protectedRange sqref="A59:D59" name="Range1"/>
  </protectedRanges>
  <sortState xmlns:xlrd2="http://schemas.microsoft.com/office/spreadsheetml/2017/richdata2" ref="A21:S60">
    <sortCondition ref="C21:C60"/>
  </sortState>
  <phoneticPr fontId="8" type="noConversion"/>
  <hyperlinks>
    <hyperlink ref="H354" r:id="rId1" display="http://vsolj.cetus-net.org/bulletin.html" xr:uid="{00000000-0004-0000-0000-000000000000}"/>
    <hyperlink ref="H347" r:id="rId2" display="http://vsolj.cetus-net.org/bulletin.html" xr:uid="{00000000-0004-0000-0000-000001000000}"/>
  </hyperlinks>
  <pageMargins left="0.75" right="0.75" top="1" bottom="1" header="0.5" footer="0.5"/>
  <pageSetup orientation="portrait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1"/>
  <sheetViews>
    <sheetView workbookViewId="0">
      <selection activeCell="B1" sqref="B1"/>
    </sheetView>
  </sheetViews>
  <sheetFormatPr defaultColWidth="10.28515625" defaultRowHeight="12.75"/>
  <cols>
    <col min="1" max="1" width="15.28515625" customWidth="1"/>
    <col min="2" max="2" width="5.140625" customWidth="1"/>
    <col min="3" max="3" width="11.85546875" customWidth="1"/>
    <col min="4" max="4" width="9.42578125" customWidth="1"/>
    <col min="5" max="6" width="8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B1" s="14" t="s">
        <v>42</v>
      </c>
    </row>
    <row r="2" spans="1:4">
      <c r="A2" t="s">
        <v>26</v>
      </c>
      <c r="B2" t="s">
        <v>41</v>
      </c>
    </row>
    <row r="3" spans="1:4" ht="13.5" thickBot="1">
      <c r="B3" s="11" t="s">
        <v>40</v>
      </c>
    </row>
    <row r="4" spans="1:4" ht="14.25" thickTop="1" thickBot="1">
      <c r="A4" s="8" t="s">
        <v>1</v>
      </c>
      <c r="C4" s="12" t="s">
        <v>32</v>
      </c>
      <c r="D4" s="13" t="s">
        <v>32</v>
      </c>
    </row>
    <row r="6" spans="1:4">
      <c r="A6" s="8" t="s">
        <v>2</v>
      </c>
    </row>
    <row r="7" spans="1:4">
      <c r="A7" t="s">
        <v>3</v>
      </c>
      <c r="C7">
        <v>48362.722399999999</v>
      </c>
      <c r="D7" s="14" t="s">
        <v>33</v>
      </c>
    </row>
    <row r="8" spans="1:4">
      <c r="A8" t="s">
        <v>4</v>
      </c>
      <c r="C8">
        <v>0.27477360000000001</v>
      </c>
      <c r="D8" s="15">
        <v>5387</v>
      </c>
    </row>
    <row r="10" spans="1:4" ht="13.5" thickBot="1">
      <c r="C10" s="7" t="s">
        <v>21</v>
      </c>
      <c r="D10" s="7" t="s">
        <v>22</v>
      </c>
    </row>
    <row r="11" spans="1:4">
      <c r="A11" t="s">
        <v>17</v>
      </c>
      <c r="C11">
        <f>INTERCEPT(G21:G998,$F21:$F998)</f>
        <v>-1.6468439744987712E-2</v>
      </c>
      <c r="D11" s="6"/>
    </row>
    <row r="12" spans="1:4">
      <c r="A12" t="s">
        <v>18</v>
      </c>
      <c r="C12">
        <f>SLOPE(G21:G998,$F21:$F998)</f>
        <v>1.5597051547701388E-6</v>
      </c>
      <c r="D12" s="6"/>
    </row>
    <row r="13" spans="1:4">
      <c r="A13" t="s">
        <v>20</v>
      </c>
      <c r="C13" s="6" t="s">
        <v>15</v>
      </c>
      <c r="D13" s="6"/>
    </row>
    <row r="14" spans="1:4">
      <c r="A14" t="s">
        <v>25</v>
      </c>
    </row>
    <row r="15" spans="1:4">
      <c r="A15" s="3" t="s">
        <v>19</v>
      </c>
      <c r="C15">
        <f>+D15+C8/2</f>
        <v>53732.079686800003</v>
      </c>
      <c r="D15">
        <v>53731.942300000002</v>
      </c>
    </row>
    <row r="16" spans="1:4">
      <c r="A16" s="8" t="s">
        <v>5</v>
      </c>
      <c r="C16">
        <f>+C8+C12</f>
        <v>0.27477515970515476</v>
      </c>
    </row>
    <row r="17" spans="1:17" ht="13.5" thickBot="1"/>
    <row r="18" spans="1:17">
      <c r="A18" s="8" t="s">
        <v>6</v>
      </c>
      <c r="C18" s="4">
        <f>+C15</f>
        <v>53732.079686800003</v>
      </c>
      <c r="D18" s="5">
        <f>+C16</f>
        <v>0.27477515970515476</v>
      </c>
    </row>
    <row r="19" spans="1:17" ht="13.5" thickTop="1">
      <c r="C19">
        <f>COUNT(C21:C758)</f>
        <v>14</v>
      </c>
    </row>
    <row r="20" spans="1:17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33</v>
      </c>
      <c r="J20" s="10" t="s">
        <v>37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16</v>
      </c>
    </row>
    <row r="21" spans="1:17">
      <c r="A21" s="16" t="s">
        <v>34</v>
      </c>
      <c r="B21" s="17" t="s">
        <v>35</v>
      </c>
      <c r="C21" s="18">
        <v>51185.3344</v>
      </c>
      <c r="D21" s="17">
        <v>4.0000000000000002E-4</v>
      </c>
      <c r="E21">
        <f t="shared" ref="E21:E34" si="0">+(C21-C$7)/C$8</f>
        <v>10272.500706035809</v>
      </c>
      <c r="F21">
        <f t="shared" ref="F21:F34" si="1">ROUND(2*E21,0)/2</f>
        <v>10272.5</v>
      </c>
      <c r="G21">
        <f t="shared" ref="G21:G34" si="2">+C21-(C$7+F21*C$8)</f>
        <v>1.9400000019231811E-4</v>
      </c>
      <c r="I21">
        <f t="shared" ref="I21:I32" si="3">+G21</f>
        <v>1.9400000019231811E-4</v>
      </c>
      <c r="O21">
        <f t="shared" ref="O21:O34" si="4">+C$11+C$12*$F21</f>
        <v>-4.4636854261146178E-4</v>
      </c>
      <c r="Q21" s="2">
        <f t="shared" ref="Q21:Q34" si="5">+C21-15018.5</f>
        <v>36166.8344</v>
      </c>
    </row>
    <row r="22" spans="1:17">
      <c r="A22" s="16" t="s">
        <v>34</v>
      </c>
      <c r="B22" s="17" t="s">
        <v>36</v>
      </c>
      <c r="C22" s="18">
        <v>51185.472999999998</v>
      </c>
      <c r="D22" s="17">
        <v>2.9999999999999997E-4</v>
      </c>
      <c r="E22">
        <f t="shared" si="0"/>
        <v>10273.005121307138</v>
      </c>
      <c r="F22">
        <f t="shared" si="1"/>
        <v>10273</v>
      </c>
      <c r="G22">
        <f t="shared" si="2"/>
        <v>1.4071999976295047E-3</v>
      </c>
      <c r="I22">
        <f t="shared" si="3"/>
        <v>1.4071999976295047E-3</v>
      </c>
      <c r="O22">
        <f t="shared" si="4"/>
        <v>-4.4558869003407525E-4</v>
      </c>
      <c r="Q22" s="2">
        <f t="shared" si="5"/>
        <v>36166.972999999998</v>
      </c>
    </row>
    <row r="23" spans="1:17">
      <c r="A23" s="16" t="s">
        <v>34</v>
      </c>
      <c r="B23" s="17" t="s">
        <v>35</v>
      </c>
      <c r="C23" s="18">
        <v>51186.434999999998</v>
      </c>
      <c r="D23" s="17">
        <v>2.9999999999999997E-4</v>
      </c>
      <c r="E23">
        <f t="shared" si="0"/>
        <v>10276.50618545595</v>
      </c>
      <c r="F23">
        <f t="shared" si="1"/>
        <v>10276.5</v>
      </c>
      <c r="G23">
        <f t="shared" si="2"/>
        <v>1.6995999976643361E-3</v>
      </c>
      <c r="I23">
        <f t="shared" si="3"/>
        <v>1.6995999976643361E-3</v>
      </c>
      <c r="O23">
        <f t="shared" si="4"/>
        <v>-4.4012972199237999E-4</v>
      </c>
      <c r="Q23" s="2">
        <f t="shared" si="5"/>
        <v>36167.934999999998</v>
      </c>
    </row>
    <row r="24" spans="1:17">
      <c r="A24" s="16" t="s">
        <v>34</v>
      </c>
      <c r="B24" s="17" t="s">
        <v>36</v>
      </c>
      <c r="C24" s="18">
        <v>51192.339599999999</v>
      </c>
      <c r="D24" s="17">
        <v>4.0000000000000002E-4</v>
      </c>
      <c r="E24">
        <f t="shared" si="0"/>
        <v>10297.995149461231</v>
      </c>
      <c r="F24">
        <f t="shared" si="1"/>
        <v>10298</v>
      </c>
      <c r="G24">
        <f t="shared" si="2"/>
        <v>-1.3327999986358918E-3</v>
      </c>
      <c r="I24">
        <f t="shared" si="3"/>
        <v>-1.3327999986358918E-3</v>
      </c>
      <c r="O24">
        <f t="shared" si="4"/>
        <v>-4.0659606116482186E-4</v>
      </c>
      <c r="Q24" s="2">
        <f t="shared" si="5"/>
        <v>36173.839599999999</v>
      </c>
    </row>
    <row r="25" spans="1:17">
      <c r="A25" s="16" t="s">
        <v>34</v>
      </c>
      <c r="B25" s="17" t="s">
        <v>35</v>
      </c>
      <c r="C25" s="18">
        <v>51192.477200000001</v>
      </c>
      <c r="D25" s="17">
        <v>8.0000000000000004E-4</v>
      </c>
      <c r="E25">
        <f t="shared" si="0"/>
        <v>10298.495925372752</v>
      </c>
      <c r="F25">
        <f t="shared" si="1"/>
        <v>10298.5</v>
      </c>
      <c r="G25">
        <f t="shared" si="2"/>
        <v>-1.1195999977644533E-3</v>
      </c>
      <c r="I25">
        <f t="shared" si="3"/>
        <v>-1.1195999977644533E-3</v>
      </c>
      <c r="O25">
        <f t="shared" si="4"/>
        <v>-4.058162085874388E-4</v>
      </c>
      <c r="Q25" s="2">
        <f t="shared" si="5"/>
        <v>36173.977200000001</v>
      </c>
    </row>
    <row r="26" spans="1:17">
      <c r="A26" s="16" t="s">
        <v>34</v>
      </c>
      <c r="B26" s="17" t="s">
        <v>36</v>
      </c>
      <c r="C26" s="18">
        <v>51215.421699999999</v>
      </c>
      <c r="D26" s="17">
        <v>2.0000000000000001E-4</v>
      </c>
      <c r="E26">
        <f t="shared" si="0"/>
        <v>10381.999216809767</v>
      </c>
      <c r="F26">
        <f t="shared" si="1"/>
        <v>10382</v>
      </c>
      <c r="G26">
        <f t="shared" si="2"/>
        <v>-2.1520000154851004E-4</v>
      </c>
      <c r="I26">
        <f t="shared" si="3"/>
        <v>-2.1520000154851004E-4</v>
      </c>
      <c r="O26">
        <f t="shared" si="4"/>
        <v>-2.7558082816413199E-4</v>
      </c>
      <c r="Q26" s="2">
        <f t="shared" si="5"/>
        <v>36196.921699999999</v>
      </c>
    </row>
    <row r="27" spans="1:17">
      <c r="A27" s="16" t="s">
        <v>34</v>
      </c>
      <c r="B27" s="17" t="s">
        <v>35</v>
      </c>
      <c r="C27" s="18">
        <v>51221.3292</v>
      </c>
      <c r="D27" s="17">
        <v>2.0000000000000001E-4</v>
      </c>
      <c r="E27">
        <f t="shared" si="0"/>
        <v>10403.49873495853</v>
      </c>
      <c r="F27">
        <f t="shared" si="1"/>
        <v>10403.5</v>
      </c>
      <c r="G27">
        <f t="shared" si="2"/>
        <v>-3.4759999834932387E-4</v>
      </c>
      <c r="I27">
        <f t="shared" si="3"/>
        <v>-3.4759999834932387E-4</v>
      </c>
      <c r="O27">
        <f t="shared" si="4"/>
        <v>-2.4204716733657386E-4</v>
      </c>
      <c r="Q27" s="2">
        <f t="shared" si="5"/>
        <v>36202.8292</v>
      </c>
    </row>
    <row r="28" spans="1:17">
      <c r="A28" s="16" t="s">
        <v>34</v>
      </c>
      <c r="B28" s="17" t="s">
        <v>35</v>
      </c>
      <c r="C28" s="18">
        <v>51222.427499999998</v>
      </c>
      <c r="D28" s="17">
        <v>2.0000000000000001E-4</v>
      </c>
      <c r="E28">
        <f t="shared" si="0"/>
        <v>10407.49584385108</v>
      </c>
      <c r="F28">
        <f t="shared" si="1"/>
        <v>10407.5</v>
      </c>
      <c r="G28">
        <f t="shared" si="2"/>
        <v>-1.1420000009820797E-3</v>
      </c>
      <c r="I28">
        <f t="shared" si="3"/>
        <v>-1.1420000009820797E-3</v>
      </c>
      <c r="O28">
        <f t="shared" si="4"/>
        <v>-2.3580834671749207E-4</v>
      </c>
      <c r="Q28" s="2">
        <f t="shared" si="5"/>
        <v>36203.927499999998</v>
      </c>
    </row>
    <row r="29" spans="1:17">
      <c r="A29" s="16" t="s">
        <v>34</v>
      </c>
      <c r="B29" s="17" t="s">
        <v>36</v>
      </c>
      <c r="C29" s="18">
        <v>51223.390399999997</v>
      </c>
      <c r="D29" s="17">
        <v>5.0000000000000001E-4</v>
      </c>
      <c r="E29">
        <f t="shared" si="0"/>
        <v>10411.000183423726</v>
      </c>
      <c r="F29">
        <f t="shared" si="1"/>
        <v>10411</v>
      </c>
      <c r="G29">
        <f t="shared" si="2"/>
        <v>5.0399998144712299E-5</v>
      </c>
      <c r="I29">
        <f t="shared" si="3"/>
        <v>5.0399998144712299E-5</v>
      </c>
      <c r="O29">
        <f t="shared" si="4"/>
        <v>-2.303493786757968E-4</v>
      </c>
      <c r="Q29" s="2">
        <f t="shared" si="5"/>
        <v>36204.890399999997</v>
      </c>
    </row>
    <row r="30" spans="1:17">
      <c r="A30" s="16" t="s">
        <v>34</v>
      </c>
      <c r="B30" s="17" t="s">
        <v>36</v>
      </c>
      <c r="C30" s="18">
        <v>51226.413099999998</v>
      </c>
      <c r="D30" s="17">
        <v>5.0000000000000001E-4</v>
      </c>
      <c r="E30">
        <f t="shared" si="0"/>
        <v>10422.000876357843</v>
      </c>
      <c r="F30">
        <f t="shared" si="1"/>
        <v>10422</v>
      </c>
      <c r="G30">
        <f t="shared" si="2"/>
        <v>2.4080000002868474E-4</v>
      </c>
      <c r="I30">
        <f t="shared" si="3"/>
        <v>2.4080000002868474E-4</v>
      </c>
      <c r="O30">
        <f t="shared" si="4"/>
        <v>-2.1319262197332448E-4</v>
      </c>
      <c r="Q30" s="2">
        <f t="shared" si="5"/>
        <v>36207.913099999998</v>
      </c>
    </row>
    <row r="31" spans="1:17">
      <c r="A31" s="16" t="s">
        <v>34</v>
      </c>
      <c r="B31" s="17" t="s">
        <v>35</v>
      </c>
      <c r="C31" s="18">
        <v>51227.372300000003</v>
      </c>
      <c r="D31" s="17">
        <v>5.9999999999999995E-4</v>
      </c>
      <c r="E31">
        <f t="shared" si="0"/>
        <v>10425.49175029917</v>
      </c>
      <c r="F31">
        <f t="shared" si="1"/>
        <v>10425.5</v>
      </c>
      <c r="G31">
        <f t="shared" si="2"/>
        <v>-2.2667999946861528E-3</v>
      </c>
      <c r="I31">
        <f t="shared" si="3"/>
        <v>-2.2667999946861528E-3</v>
      </c>
      <c r="O31">
        <f t="shared" si="4"/>
        <v>-2.0773365393162921E-4</v>
      </c>
      <c r="Q31" s="2">
        <f t="shared" si="5"/>
        <v>36208.872300000003</v>
      </c>
    </row>
    <row r="32" spans="1:17">
      <c r="A32" s="16" t="s">
        <v>34</v>
      </c>
      <c r="B32" s="17" t="s">
        <v>35</v>
      </c>
      <c r="C32" s="18">
        <v>51258.423999999999</v>
      </c>
      <c r="D32" s="17">
        <v>4.0000000000000002E-4</v>
      </c>
      <c r="E32">
        <f t="shared" si="0"/>
        <v>10538.500059685502</v>
      </c>
      <c r="F32">
        <f t="shared" si="1"/>
        <v>10538.5</v>
      </c>
      <c r="G32">
        <f t="shared" si="2"/>
        <v>1.6400001186411828E-5</v>
      </c>
      <c r="I32">
        <f t="shared" si="3"/>
        <v>1.6400001186411828E-5</v>
      </c>
      <c r="O32">
        <f t="shared" si="4"/>
        <v>-3.148697144260415E-5</v>
      </c>
      <c r="Q32" s="2">
        <f t="shared" si="5"/>
        <v>36239.923999999999</v>
      </c>
    </row>
    <row r="33" spans="1:17">
      <c r="A33" s="19" t="s">
        <v>39</v>
      </c>
      <c r="B33" s="17" t="s">
        <v>35</v>
      </c>
      <c r="C33">
        <v>53731.942300000002</v>
      </c>
      <c r="D33" s="6">
        <v>2.9999999999999997E-4</v>
      </c>
      <c r="E33">
        <f t="shared" si="0"/>
        <v>19540.523179810592</v>
      </c>
      <c r="F33">
        <f t="shared" si="1"/>
        <v>19540.5</v>
      </c>
      <c r="G33">
        <f t="shared" si="2"/>
        <v>6.369200003973674E-3</v>
      </c>
      <c r="J33">
        <f>+G33</f>
        <v>6.369200003973674E-3</v>
      </c>
      <c r="O33">
        <f t="shared" si="4"/>
        <v>1.4008978831798184E-2</v>
      </c>
      <c r="Q33" s="2">
        <f t="shared" si="5"/>
        <v>38713.442300000002</v>
      </c>
    </row>
    <row r="34" spans="1:17">
      <c r="A34" s="19" t="s">
        <v>38</v>
      </c>
      <c r="C34">
        <v>54029.6757</v>
      </c>
      <c r="D34" s="6">
        <v>2.9999999999999997E-4</v>
      </c>
      <c r="E34">
        <f t="shared" si="0"/>
        <v>20624.082153452884</v>
      </c>
      <c r="F34">
        <f t="shared" si="1"/>
        <v>20624</v>
      </c>
      <c r="G34">
        <f t="shared" si="2"/>
        <v>2.2573599999304861E-2</v>
      </c>
      <c r="J34">
        <f>+G34</f>
        <v>2.2573599999304861E-2</v>
      </c>
      <c r="O34">
        <f t="shared" si="4"/>
        <v>1.569891936699163E-2</v>
      </c>
      <c r="Q34" s="2">
        <f t="shared" si="5"/>
        <v>39011.1757</v>
      </c>
    </row>
    <row r="35" spans="1:17">
      <c r="D35" s="6"/>
    </row>
    <row r="36" spans="1:17">
      <c r="D36" s="6"/>
    </row>
    <row r="37" spans="1:17">
      <c r="D37" s="6"/>
    </row>
    <row r="38" spans="1:17">
      <c r="D38" s="6"/>
    </row>
    <row r="39" spans="1:17">
      <c r="D39" s="6"/>
    </row>
    <row r="40" spans="1:17">
      <c r="D40" s="6"/>
    </row>
    <row r="41" spans="1:17">
      <c r="D41" s="6"/>
    </row>
    <row r="42" spans="1:17">
      <c r="D42" s="6"/>
    </row>
    <row r="43" spans="1:17">
      <c r="D43" s="6"/>
    </row>
    <row r="44" spans="1:17">
      <c r="D44" s="6"/>
    </row>
    <row r="45" spans="1:17">
      <c r="D45" s="6"/>
    </row>
    <row r="46" spans="1:17">
      <c r="D46" s="6"/>
    </row>
    <row r="47" spans="1:17">
      <c r="D47" s="6"/>
    </row>
    <row r="48" spans="1:17">
      <c r="D48" s="6"/>
    </row>
    <row r="49" spans="4:4">
      <c r="D49" s="6"/>
    </row>
    <row r="50" spans="4:4">
      <c r="D50" s="6"/>
    </row>
    <row r="51" spans="4:4">
      <c r="D51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50"/>
  <sheetViews>
    <sheetView workbookViewId="0">
      <selection activeCell="A45" sqref="A45:D45"/>
    </sheetView>
  </sheetViews>
  <sheetFormatPr defaultRowHeight="12.75"/>
  <cols>
    <col min="1" max="1" width="19.7109375" style="52" customWidth="1"/>
    <col min="2" max="2" width="4.42578125" style="25" customWidth="1"/>
    <col min="3" max="3" width="12.7109375" style="52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52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>
      <c r="A1" s="51" t="s">
        <v>63</v>
      </c>
      <c r="I1" s="53" t="s">
        <v>64</v>
      </c>
      <c r="J1" s="54" t="s">
        <v>65</v>
      </c>
    </row>
    <row r="2" spans="1:16">
      <c r="I2" s="55" t="s">
        <v>66</v>
      </c>
      <c r="J2" s="56" t="s">
        <v>67</v>
      </c>
    </row>
    <row r="3" spans="1:16">
      <c r="A3" s="57" t="s">
        <v>68</v>
      </c>
      <c r="I3" s="55" t="s">
        <v>69</v>
      </c>
      <c r="J3" s="56" t="s">
        <v>70</v>
      </c>
    </row>
    <row r="4" spans="1:16">
      <c r="I4" s="55" t="s">
        <v>71</v>
      </c>
      <c r="J4" s="56" t="s">
        <v>70</v>
      </c>
    </row>
    <row r="5" spans="1:16" ht="13.5" thickBot="1">
      <c r="I5" s="58" t="s">
        <v>72</v>
      </c>
      <c r="J5" s="59" t="s">
        <v>73</v>
      </c>
    </row>
    <row r="10" spans="1:16" ht="13.5" thickBot="1"/>
    <row r="11" spans="1:16" ht="12.75" customHeight="1" thickBot="1">
      <c r="A11" s="52" t="str">
        <f t="shared" ref="A11:A45" si="0">P11</f>
        <v>IBVS 5387 </v>
      </c>
      <c r="B11" s="6" t="str">
        <f t="shared" ref="B11:B45" si="1">IF(H11=INT(H11),"I","II")</f>
        <v>II</v>
      </c>
      <c r="C11" s="52">
        <f t="shared" ref="C11:C45" si="2">1*G11</f>
        <v>51185.3344</v>
      </c>
      <c r="D11" s="25" t="str">
        <f t="shared" ref="D11:D45" si="3">VLOOKUP(F11,I$1:J$5,2,FALSE)</f>
        <v>vis</v>
      </c>
      <c r="E11" s="60">
        <f>VLOOKUP(C11,Active!C$21:E$972,3,FALSE)</f>
        <v>10272.500706035809</v>
      </c>
      <c r="F11" s="6" t="s">
        <v>72</v>
      </c>
      <c r="G11" s="25" t="str">
        <f t="shared" ref="G11:G45" si="4">MID(I11,3,LEN(I11)-3)</f>
        <v>51185.3344</v>
      </c>
      <c r="H11" s="52">
        <f t="shared" ref="H11:H45" si="5">1*K11</f>
        <v>-4785.5</v>
      </c>
      <c r="I11" s="61" t="s">
        <v>74</v>
      </c>
      <c r="J11" s="62" t="s">
        <v>75</v>
      </c>
      <c r="K11" s="61">
        <v>-4785.5</v>
      </c>
      <c r="L11" s="61" t="s">
        <v>76</v>
      </c>
      <c r="M11" s="62" t="s">
        <v>77</v>
      </c>
      <c r="N11" s="62" t="s">
        <v>78</v>
      </c>
      <c r="O11" s="63" t="s">
        <v>79</v>
      </c>
      <c r="P11" s="64" t="s">
        <v>80</v>
      </c>
    </row>
    <row r="12" spans="1:16" ht="12.75" customHeight="1" thickBot="1">
      <c r="A12" s="52" t="str">
        <f t="shared" si="0"/>
        <v>IBVS 5387 </v>
      </c>
      <c r="B12" s="6" t="str">
        <f t="shared" si="1"/>
        <v>I</v>
      </c>
      <c r="C12" s="52">
        <f t="shared" si="2"/>
        <v>51185.472999999998</v>
      </c>
      <c r="D12" s="25" t="str">
        <f t="shared" si="3"/>
        <v>vis</v>
      </c>
      <c r="E12" s="60">
        <f>VLOOKUP(C12,Active!C$21:E$972,3,FALSE)</f>
        <v>10273.005121307138</v>
      </c>
      <c r="F12" s="6" t="s">
        <v>72</v>
      </c>
      <c r="G12" s="25" t="str">
        <f t="shared" si="4"/>
        <v>51185.4730</v>
      </c>
      <c r="H12" s="52">
        <f t="shared" si="5"/>
        <v>-4785</v>
      </c>
      <c r="I12" s="61" t="s">
        <v>81</v>
      </c>
      <c r="J12" s="62" t="s">
        <v>82</v>
      </c>
      <c r="K12" s="61">
        <v>-4785</v>
      </c>
      <c r="L12" s="61" t="s">
        <v>83</v>
      </c>
      <c r="M12" s="62" t="s">
        <v>77</v>
      </c>
      <c r="N12" s="62" t="s">
        <v>78</v>
      </c>
      <c r="O12" s="63" t="s">
        <v>79</v>
      </c>
      <c r="P12" s="64" t="s">
        <v>80</v>
      </c>
    </row>
    <row r="13" spans="1:16" ht="12.75" customHeight="1" thickBot="1">
      <c r="A13" s="52" t="str">
        <f t="shared" si="0"/>
        <v>IBVS 5387 </v>
      </c>
      <c r="B13" s="6" t="str">
        <f t="shared" si="1"/>
        <v>II</v>
      </c>
      <c r="C13" s="52">
        <f t="shared" si="2"/>
        <v>51186.434999999998</v>
      </c>
      <c r="D13" s="25" t="str">
        <f t="shared" si="3"/>
        <v>vis</v>
      </c>
      <c r="E13" s="60">
        <f>VLOOKUP(C13,Active!C$21:E$972,3,FALSE)</f>
        <v>10276.50618545595</v>
      </c>
      <c r="F13" s="6" t="s">
        <v>72</v>
      </c>
      <c r="G13" s="25" t="str">
        <f t="shared" si="4"/>
        <v>51186.4350</v>
      </c>
      <c r="H13" s="52">
        <f t="shared" si="5"/>
        <v>-4781.5</v>
      </c>
      <c r="I13" s="61" t="s">
        <v>84</v>
      </c>
      <c r="J13" s="62" t="s">
        <v>85</v>
      </c>
      <c r="K13" s="61">
        <v>-4781.5</v>
      </c>
      <c r="L13" s="61" t="s">
        <v>86</v>
      </c>
      <c r="M13" s="62" t="s">
        <v>77</v>
      </c>
      <c r="N13" s="62" t="s">
        <v>78</v>
      </c>
      <c r="O13" s="63" t="s">
        <v>79</v>
      </c>
      <c r="P13" s="64" t="s">
        <v>80</v>
      </c>
    </row>
    <row r="14" spans="1:16" ht="12.75" customHeight="1" thickBot="1">
      <c r="A14" s="52" t="str">
        <f t="shared" si="0"/>
        <v>IBVS 5387 </v>
      </c>
      <c r="B14" s="6" t="str">
        <f t="shared" si="1"/>
        <v>I</v>
      </c>
      <c r="C14" s="52">
        <f t="shared" si="2"/>
        <v>51192.339599999999</v>
      </c>
      <c r="D14" s="25" t="str">
        <f t="shared" si="3"/>
        <v>vis</v>
      </c>
      <c r="E14" s="60">
        <f>VLOOKUP(C14,Active!C$21:E$972,3,FALSE)</f>
        <v>10297.995149461231</v>
      </c>
      <c r="F14" s="6" t="s">
        <v>72</v>
      </c>
      <c r="G14" s="25" t="str">
        <f t="shared" si="4"/>
        <v>51192.3396</v>
      </c>
      <c r="H14" s="52">
        <f t="shared" si="5"/>
        <v>-4760</v>
      </c>
      <c r="I14" s="61" t="s">
        <v>87</v>
      </c>
      <c r="J14" s="62" t="s">
        <v>88</v>
      </c>
      <c r="K14" s="61">
        <v>-4760</v>
      </c>
      <c r="L14" s="61" t="s">
        <v>89</v>
      </c>
      <c r="M14" s="62" t="s">
        <v>77</v>
      </c>
      <c r="N14" s="62" t="s">
        <v>78</v>
      </c>
      <c r="O14" s="63" t="s">
        <v>79</v>
      </c>
      <c r="P14" s="64" t="s">
        <v>80</v>
      </c>
    </row>
    <row r="15" spans="1:16" ht="12.75" customHeight="1" thickBot="1">
      <c r="A15" s="52" t="str">
        <f t="shared" si="0"/>
        <v>IBVS 5387 </v>
      </c>
      <c r="B15" s="6" t="str">
        <f t="shared" si="1"/>
        <v>II</v>
      </c>
      <c r="C15" s="52">
        <f t="shared" si="2"/>
        <v>51192.477200000001</v>
      </c>
      <c r="D15" s="25" t="str">
        <f t="shared" si="3"/>
        <v>vis</v>
      </c>
      <c r="E15" s="60">
        <f>VLOOKUP(C15,Active!C$21:E$972,3,FALSE)</f>
        <v>10298.495925372752</v>
      </c>
      <c r="F15" s="6" t="s">
        <v>72</v>
      </c>
      <c r="G15" s="25" t="str">
        <f t="shared" si="4"/>
        <v>51192.4772</v>
      </c>
      <c r="H15" s="52">
        <f t="shared" si="5"/>
        <v>-4759.5</v>
      </c>
      <c r="I15" s="61" t="s">
        <v>90</v>
      </c>
      <c r="J15" s="62" t="s">
        <v>91</v>
      </c>
      <c r="K15" s="61">
        <v>-4759.5</v>
      </c>
      <c r="L15" s="61" t="s">
        <v>92</v>
      </c>
      <c r="M15" s="62" t="s">
        <v>77</v>
      </c>
      <c r="N15" s="62" t="s">
        <v>78</v>
      </c>
      <c r="O15" s="63" t="s">
        <v>79</v>
      </c>
      <c r="P15" s="64" t="s">
        <v>80</v>
      </c>
    </row>
    <row r="16" spans="1:16" ht="12.75" customHeight="1" thickBot="1">
      <c r="A16" s="52" t="str">
        <f t="shared" si="0"/>
        <v>IBVS 5387 </v>
      </c>
      <c r="B16" s="6" t="str">
        <f t="shared" si="1"/>
        <v>I</v>
      </c>
      <c r="C16" s="52">
        <f t="shared" si="2"/>
        <v>51215.421699999999</v>
      </c>
      <c r="D16" s="25" t="str">
        <f t="shared" si="3"/>
        <v>vis</v>
      </c>
      <c r="E16" s="60">
        <f>VLOOKUP(C16,Active!C$21:E$972,3,FALSE)</f>
        <v>10381.999216809767</v>
      </c>
      <c r="F16" s="6" t="s">
        <v>72</v>
      </c>
      <c r="G16" s="25" t="str">
        <f t="shared" si="4"/>
        <v>51215.4217</v>
      </c>
      <c r="H16" s="52">
        <f t="shared" si="5"/>
        <v>-4676</v>
      </c>
      <c r="I16" s="61" t="s">
        <v>93</v>
      </c>
      <c r="J16" s="62" t="s">
        <v>94</v>
      </c>
      <c r="K16" s="61">
        <v>-4676</v>
      </c>
      <c r="L16" s="61" t="s">
        <v>95</v>
      </c>
      <c r="M16" s="62" t="s">
        <v>77</v>
      </c>
      <c r="N16" s="62" t="s">
        <v>96</v>
      </c>
      <c r="O16" s="63" t="s">
        <v>79</v>
      </c>
      <c r="P16" s="64" t="s">
        <v>80</v>
      </c>
    </row>
    <row r="17" spans="1:16" ht="12.75" customHeight="1" thickBot="1">
      <c r="A17" s="52" t="str">
        <f t="shared" si="0"/>
        <v>IBVS 5387 </v>
      </c>
      <c r="B17" s="6" t="str">
        <f t="shared" si="1"/>
        <v>II</v>
      </c>
      <c r="C17" s="52">
        <f t="shared" si="2"/>
        <v>51221.3292</v>
      </c>
      <c r="D17" s="25" t="str">
        <f t="shared" si="3"/>
        <v>vis</v>
      </c>
      <c r="E17" s="60">
        <f>VLOOKUP(C17,Active!C$21:E$972,3,FALSE)</f>
        <v>10403.49873495853</v>
      </c>
      <c r="F17" s="6" t="s">
        <v>72</v>
      </c>
      <c r="G17" s="25" t="str">
        <f t="shared" si="4"/>
        <v>51221.3292</v>
      </c>
      <c r="H17" s="52">
        <f t="shared" si="5"/>
        <v>-4654.5</v>
      </c>
      <c r="I17" s="61" t="s">
        <v>97</v>
      </c>
      <c r="J17" s="62" t="s">
        <v>98</v>
      </c>
      <c r="K17" s="61">
        <v>-4654.5</v>
      </c>
      <c r="L17" s="61" t="s">
        <v>99</v>
      </c>
      <c r="M17" s="62" t="s">
        <v>77</v>
      </c>
      <c r="N17" s="62" t="s">
        <v>96</v>
      </c>
      <c r="O17" s="63" t="s">
        <v>79</v>
      </c>
      <c r="P17" s="64" t="s">
        <v>80</v>
      </c>
    </row>
    <row r="18" spans="1:16" ht="12.75" customHeight="1" thickBot="1">
      <c r="A18" s="52" t="str">
        <f t="shared" si="0"/>
        <v>IBVS 5387 </v>
      </c>
      <c r="B18" s="6" t="str">
        <f t="shared" si="1"/>
        <v>II</v>
      </c>
      <c r="C18" s="52">
        <f t="shared" si="2"/>
        <v>51222.427499999998</v>
      </c>
      <c r="D18" s="25" t="str">
        <f t="shared" si="3"/>
        <v>vis</v>
      </c>
      <c r="E18" s="60">
        <f>VLOOKUP(C18,Active!C$21:E$972,3,FALSE)</f>
        <v>10407.49584385108</v>
      </c>
      <c r="F18" s="6" t="s">
        <v>72</v>
      </c>
      <c r="G18" s="25" t="str">
        <f t="shared" si="4"/>
        <v>51222.4275</v>
      </c>
      <c r="H18" s="52">
        <f t="shared" si="5"/>
        <v>-4650.5</v>
      </c>
      <c r="I18" s="61" t="s">
        <v>100</v>
      </c>
      <c r="J18" s="62" t="s">
        <v>101</v>
      </c>
      <c r="K18" s="61">
        <v>-4650.5</v>
      </c>
      <c r="L18" s="61" t="s">
        <v>102</v>
      </c>
      <c r="M18" s="62" t="s">
        <v>77</v>
      </c>
      <c r="N18" s="62" t="s">
        <v>96</v>
      </c>
      <c r="O18" s="63" t="s">
        <v>79</v>
      </c>
      <c r="P18" s="64" t="s">
        <v>80</v>
      </c>
    </row>
    <row r="19" spans="1:16" ht="12.75" customHeight="1" thickBot="1">
      <c r="A19" s="52" t="str">
        <f t="shared" si="0"/>
        <v>IBVS 5387 </v>
      </c>
      <c r="B19" s="6" t="str">
        <f t="shared" si="1"/>
        <v>I</v>
      </c>
      <c r="C19" s="52">
        <f t="shared" si="2"/>
        <v>51223.390399999997</v>
      </c>
      <c r="D19" s="25" t="str">
        <f t="shared" si="3"/>
        <v>vis</v>
      </c>
      <c r="E19" s="60">
        <f>VLOOKUP(C19,Active!C$21:E$972,3,FALSE)</f>
        <v>10411.000183423726</v>
      </c>
      <c r="F19" s="6" t="s">
        <v>72</v>
      </c>
      <c r="G19" s="25" t="str">
        <f t="shared" si="4"/>
        <v>51223.3904</v>
      </c>
      <c r="H19" s="52">
        <f t="shared" si="5"/>
        <v>-4647</v>
      </c>
      <c r="I19" s="61" t="s">
        <v>103</v>
      </c>
      <c r="J19" s="62" t="s">
        <v>104</v>
      </c>
      <c r="K19" s="61">
        <v>-4647</v>
      </c>
      <c r="L19" s="61" t="s">
        <v>105</v>
      </c>
      <c r="M19" s="62" t="s">
        <v>77</v>
      </c>
      <c r="N19" s="62" t="s">
        <v>96</v>
      </c>
      <c r="O19" s="63" t="s">
        <v>79</v>
      </c>
      <c r="P19" s="64" t="s">
        <v>80</v>
      </c>
    </row>
    <row r="20" spans="1:16" ht="12.75" customHeight="1" thickBot="1">
      <c r="A20" s="52" t="str">
        <f t="shared" si="0"/>
        <v>IBVS 5387 </v>
      </c>
      <c r="B20" s="6" t="str">
        <f t="shared" si="1"/>
        <v>I</v>
      </c>
      <c r="C20" s="52">
        <f t="shared" si="2"/>
        <v>51226.413099999998</v>
      </c>
      <c r="D20" s="25" t="str">
        <f t="shared" si="3"/>
        <v>vis</v>
      </c>
      <c r="E20" s="60">
        <f>VLOOKUP(C20,Active!C$21:E$972,3,FALSE)</f>
        <v>10422.000876357843</v>
      </c>
      <c r="F20" s="6" t="s">
        <v>72</v>
      </c>
      <c r="G20" s="25" t="str">
        <f t="shared" si="4"/>
        <v>51226.4131</v>
      </c>
      <c r="H20" s="52">
        <f t="shared" si="5"/>
        <v>-4636</v>
      </c>
      <c r="I20" s="61" t="s">
        <v>106</v>
      </c>
      <c r="J20" s="62" t="s">
        <v>107</v>
      </c>
      <c r="K20" s="61">
        <v>-4636</v>
      </c>
      <c r="L20" s="61" t="s">
        <v>108</v>
      </c>
      <c r="M20" s="62" t="s">
        <v>77</v>
      </c>
      <c r="N20" s="62" t="s">
        <v>78</v>
      </c>
      <c r="O20" s="63" t="s">
        <v>79</v>
      </c>
      <c r="P20" s="64" t="s">
        <v>80</v>
      </c>
    </row>
    <row r="21" spans="1:16" ht="12.75" customHeight="1" thickBot="1">
      <c r="A21" s="52" t="str">
        <f t="shared" si="0"/>
        <v>IBVS 5387 </v>
      </c>
      <c r="B21" s="6" t="str">
        <f t="shared" si="1"/>
        <v>II</v>
      </c>
      <c r="C21" s="52">
        <f t="shared" si="2"/>
        <v>51227.372300000003</v>
      </c>
      <c r="D21" s="25" t="str">
        <f t="shared" si="3"/>
        <v>vis</v>
      </c>
      <c r="E21" s="60">
        <f>VLOOKUP(C21,Active!C$21:E$972,3,FALSE)</f>
        <v>10425.49175029917</v>
      </c>
      <c r="F21" s="6" t="s">
        <v>72</v>
      </c>
      <c r="G21" s="25" t="str">
        <f t="shared" si="4"/>
        <v>51227.3723</v>
      </c>
      <c r="H21" s="52">
        <f t="shared" si="5"/>
        <v>-4632.5</v>
      </c>
      <c r="I21" s="61" t="s">
        <v>109</v>
      </c>
      <c r="J21" s="62" t="s">
        <v>110</v>
      </c>
      <c r="K21" s="61">
        <v>-4632.5</v>
      </c>
      <c r="L21" s="61" t="s">
        <v>111</v>
      </c>
      <c r="M21" s="62" t="s">
        <v>77</v>
      </c>
      <c r="N21" s="62" t="s">
        <v>78</v>
      </c>
      <c r="O21" s="63" t="s">
        <v>79</v>
      </c>
      <c r="P21" s="64" t="s">
        <v>80</v>
      </c>
    </row>
    <row r="22" spans="1:16" ht="12.75" customHeight="1" thickBot="1">
      <c r="A22" s="52" t="str">
        <f t="shared" si="0"/>
        <v>IBVS 5387 </v>
      </c>
      <c r="B22" s="6" t="str">
        <f t="shared" si="1"/>
        <v>II</v>
      </c>
      <c r="C22" s="52">
        <f t="shared" si="2"/>
        <v>51258.423999999999</v>
      </c>
      <c r="D22" s="25" t="str">
        <f t="shared" si="3"/>
        <v>vis</v>
      </c>
      <c r="E22" s="60">
        <f>VLOOKUP(C22,Active!C$21:E$972,3,FALSE)</f>
        <v>10538.500059685502</v>
      </c>
      <c r="F22" s="6" t="s">
        <v>72</v>
      </c>
      <c r="G22" s="25" t="str">
        <f t="shared" si="4"/>
        <v>51258.4240</v>
      </c>
      <c r="H22" s="52">
        <f t="shared" si="5"/>
        <v>-4519.5</v>
      </c>
      <c r="I22" s="61" t="s">
        <v>112</v>
      </c>
      <c r="J22" s="62" t="s">
        <v>113</v>
      </c>
      <c r="K22" s="61">
        <v>-4519.5</v>
      </c>
      <c r="L22" s="61" t="s">
        <v>92</v>
      </c>
      <c r="M22" s="62" t="s">
        <v>77</v>
      </c>
      <c r="N22" s="62" t="s">
        <v>78</v>
      </c>
      <c r="O22" s="63" t="s">
        <v>79</v>
      </c>
      <c r="P22" s="64" t="s">
        <v>80</v>
      </c>
    </row>
    <row r="23" spans="1:16" ht="12.75" customHeight="1" thickBot="1">
      <c r="A23" s="52" t="str">
        <f t="shared" si="0"/>
        <v>BAVM 215 </v>
      </c>
      <c r="B23" s="6" t="str">
        <f t="shared" si="1"/>
        <v>I</v>
      </c>
      <c r="C23" s="52">
        <f t="shared" si="2"/>
        <v>53446.311999999998</v>
      </c>
      <c r="D23" s="25" t="str">
        <f t="shared" si="3"/>
        <v>vis</v>
      </c>
      <c r="E23" s="60">
        <f>VLOOKUP(C23,Active!C$21:E$972,3,FALSE)</f>
        <v>18501.011742030529</v>
      </c>
      <c r="F23" s="6" t="s">
        <v>72</v>
      </c>
      <c r="G23" s="25" t="str">
        <f t="shared" si="4"/>
        <v>53446.3120</v>
      </c>
      <c r="H23" s="52">
        <f t="shared" si="5"/>
        <v>3443</v>
      </c>
      <c r="I23" s="61" t="s">
        <v>114</v>
      </c>
      <c r="J23" s="62" t="s">
        <v>115</v>
      </c>
      <c r="K23" s="61">
        <v>3443</v>
      </c>
      <c r="L23" s="61" t="s">
        <v>116</v>
      </c>
      <c r="M23" s="62" t="s">
        <v>117</v>
      </c>
      <c r="N23" s="62" t="s">
        <v>118</v>
      </c>
      <c r="O23" s="63" t="s">
        <v>119</v>
      </c>
      <c r="P23" s="64" t="s">
        <v>120</v>
      </c>
    </row>
    <row r="24" spans="1:16" ht="12.75" customHeight="1" thickBot="1">
      <c r="A24" s="52" t="str">
        <f t="shared" si="0"/>
        <v>BAVM 228 </v>
      </c>
      <c r="B24" s="6" t="str">
        <f t="shared" si="1"/>
        <v>I</v>
      </c>
      <c r="C24" s="52">
        <f t="shared" si="2"/>
        <v>53446.311999999998</v>
      </c>
      <c r="D24" s="25" t="str">
        <f t="shared" si="3"/>
        <v>vis</v>
      </c>
      <c r="E24" s="60">
        <f>VLOOKUP(C24,Active!C$21:E$972,3,FALSE)</f>
        <v>18501.011742030529</v>
      </c>
      <c r="F24" s="6" t="s">
        <v>72</v>
      </c>
      <c r="G24" s="25" t="str">
        <f t="shared" si="4"/>
        <v>53446.3120</v>
      </c>
      <c r="H24" s="52">
        <f t="shared" si="5"/>
        <v>3443</v>
      </c>
      <c r="I24" s="61" t="s">
        <v>114</v>
      </c>
      <c r="J24" s="62" t="s">
        <v>115</v>
      </c>
      <c r="K24" s="61">
        <v>3443</v>
      </c>
      <c r="L24" s="61" t="s">
        <v>116</v>
      </c>
      <c r="M24" s="62" t="s">
        <v>117</v>
      </c>
      <c r="N24" s="62" t="s">
        <v>118</v>
      </c>
      <c r="O24" s="63" t="s">
        <v>119</v>
      </c>
      <c r="P24" s="64" t="s">
        <v>121</v>
      </c>
    </row>
    <row r="25" spans="1:16" ht="12.75" customHeight="1" thickBot="1">
      <c r="A25" s="52" t="str">
        <f t="shared" si="0"/>
        <v>IBVS 5672 </v>
      </c>
      <c r="B25" s="6" t="str">
        <f t="shared" si="1"/>
        <v>II</v>
      </c>
      <c r="C25" s="52">
        <f t="shared" si="2"/>
        <v>53731.942300000002</v>
      </c>
      <c r="D25" s="25" t="str">
        <f t="shared" si="3"/>
        <v>vis</v>
      </c>
      <c r="E25" s="60">
        <f>VLOOKUP(C25,Active!C$21:E$972,3,FALSE)</f>
        <v>19540.523179810592</v>
      </c>
      <c r="F25" s="6" t="s">
        <v>72</v>
      </c>
      <c r="G25" s="25" t="str">
        <f t="shared" si="4"/>
        <v>53731.9423</v>
      </c>
      <c r="H25" s="52">
        <f t="shared" si="5"/>
        <v>4482.5</v>
      </c>
      <c r="I25" s="61" t="s">
        <v>122</v>
      </c>
      <c r="J25" s="62" t="s">
        <v>123</v>
      </c>
      <c r="K25" s="61">
        <v>4482.5</v>
      </c>
      <c r="L25" s="61" t="s">
        <v>124</v>
      </c>
      <c r="M25" s="62" t="s">
        <v>77</v>
      </c>
      <c r="N25" s="62" t="s">
        <v>125</v>
      </c>
      <c r="O25" s="63" t="s">
        <v>126</v>
      </c>
      <c r="P25" s="64" t="s">
        <v>127</v>
      </c>
    </row>
    <row r="26" spans="1:16" ht="12.75" customHeight="1" thickBot="1">
      <c r="A26" s="52" t="str">
        <f t="shared" si="0"/>
        <v>IBVS 6153 </v>
      </c>
      <c r="B26" s="6" t="str">
        <f t="shared" si="1"/>
        <v>I</v>
      </c>
      <c r="C26" s="52">
        <f t="shared" si="2"/>
        <v>54066.476900000001</v>
      </c>
      <c r="D26" s="25" t="str">
        <f t="shared" si="3"/>
        <v>vis</v>
      </c>
      <c r="E26" s="60">
        <f>VLOOKUP(C26,Active!C$21:E$972,3,FALSE)</f>
        <v>20758.014962136109</v>
      </c>
      <c r="F26" s="6" t="s">
        <v>72</v>
      </c>
      <c r="G26" s="25" t="str">
        <f t="shared" si="4"/>
        <v>54066.4769</v>
      </c>
      <c r="H26" s="52">
        <f t="shared" si="5"/>
        <v>5700</v>
      </c>
      <c r="I26" s="61" t="s">
        <v>133</v>
      </c>
      <c r="J26" s="62" t="s">
        <v>134</v>
      </c>
      <c r="K26" s="61">
        <v>5700</v>
      </c>
      <c r="L26" s="61" t="s">
        <v>135</v>
      </c>
      <c r="M26" s="62" t="s">
        <v>117</v>
      </c>
      <c r="N26" s="62" t="s">
        <v>136</v>
      </c>
      <c r="O26" s="63" t="s">
        <v>137</v>
      </c>
      <c r="P26" s="64" t="s">
        <v>138</v>
      </c>
    </row>
    <row r="27" spans="1:16" ht="12.75" customHeight="1" thickBot="1">
      <c r="A27" s="52" t="str">
        <f t="shared" si="0"/>
        <v>IBVS 6153 </v>
      </c>
      <c r="B27" s="6" t="str">
        <f t="shared" si="1"/>
        <v>II</v>
      </c>
      <c r="C27" s="52">
        <f t="shared" si="2"/>
        <v>54066.614999999998</v>
      </c>
      <c r="D27" s="25" t="str">
        <f t="shared" si="3"/>
        <v>vis</v>
      </c>
      <c r="E27" s="60">
        <f>VLOOKUP(C27,Active!C$21:E$972,3,FALSE)</f>
        <v>20758.517557727522</v>
      </c>
      <c r="F27" s="6" t="s">
        <v>72</v>
      </c>
      <c r="G27" s="25" t="str">
        <f t="shared" si="4"/>
        <v>54066.6150</v>
      </c>
      <c r="H27" s="52">
        <f t="shared" si="5"/>
        <v>5700.5</v>
      </c>
      <c r="I27" s="61" t="s">
        <v>139</v>
      </c>
      <c r="J27" s="62" t="s">
        <v>140</v>
      </c>
      <c r="K27" s="61">
        <v>5700.5</v>
      </c>
      <c r="L27" s="61" t="s">
        <v>141</v>
      </c>
      <c r="M27" s="62" t="s">
        <v>117</v>
      </c>
      <c r="N27" s="62" t="s">
        <v>136</v>
      </c>
      <c r="O27" s="63" t="s">
        <v>137</v>
      </c>
      <c r="P27" s="64" t="s">
        <v>138</v>
      </c>
    </row>
    <row r="28" spans="1:16" ht="12.75" customHeight="1" thickBot="1">
      <c r="A28" s="52" t="str">
        <f t="shared" si="0"/>
        <v>IBVS 6153 </v>
      </c>
      <c r="B28" s="6" t="str">
        <f t="shared" si="1"/>
        <v>II</v>
      </c>
      <c r="C28" s="52">
        <f t="shared" si="2"/>
        <v>54067.439100000003</v>
      </c>
      <c r="D28" s="25" t="str">
        <f t="shared" si="3"/>
        <v>vis</v>
      </c>
      <c r="E28" s="60">
        <f>VLOOKUP(C28,Active!C$21:E$972,3,FALSE)</f>
        <v>20761.516754156892</v>
      </c>
      <c r="F28" s="6" t="s">
        <v>72</v>
      </c>
      <c r="G28" s="25" t="str">
        <f t="shared" si="4"/>
        <v>54067.4391</v>
      </c>
      <c r="H28" s="52">
        <f t="shared" si="5"/>
        <v>5703.5</v>
      </c>
      <c r="I28" s="61" t="s">
        <v>142</v>
      </c>
      <c r="J28" s="62" t="s">
        <v>143</v>
      </c>
      <c r="K28" s="61">
        <v>5703.5</v>
      </c>
      <c r="L28" s="61" t="s">
        <v>144</v>
      </c>
      <c r="M28" s="62" t="s">
        <v>117</v>
      </c>
      <c r="N28" s="62" t="s">
        <v>136</v>
      </c>
      <c r="O28" s="63" t="s">
        <v>137</v>
      </c>
      <c r="P28" s="64" t="s">
        <v>138</v>
      </c>
    </row>
    <row r="29" spans="1:16" ht="12.75" customHeight="1" thickBot="1">
      <c r="A29" s="52" t="str">
        <f t="shared" si="0"/>
        <v>IBVS 6153 </v>
      </c>
      <c r="B29" s="6" t="str">
        <f t="shared" si="1"/>
        <v>I</v>
      </c>
      <c r="C29" s="52">
        <f t="shared" si="2"/>
        <v>54067.576099999998</v>
      </c>
      <c r="D29" s="25" t="str">
        <f t="shared" si="3"/>
        <v>vis</v>
      </c>
      <c r="E29" s="60">
        <f>VLOOKUP(C29,Active!C$21:E$972,3,FALSE)</f>
        <v>20762.015346452496</v>
      </c>
      <c r="F29" s="6" t="s">
        <v>72</v>
      </c>
      <c r="G29" s="25" t="str">
        <f t="shared" si="4"/>
        <v>54067.5761</v>
      </c>
      <c r="H29" s="52">
        <f t="shared" si="5"/>
        <v>5704</v>
      </c>
      <c r="I29" s="61" t="s">
        <v>145</v>
      </c>
      <c r="J29" s="62" t="s">
        <v>146</v>
      </c>
      <c r="K29" s="61">
        <v>5704</v>
      </c>
      <c r="L29" s="61" t="s">
        <v>147</v>
      </c>
      <c r="M29" s="62" t="s">
        <v>117</v>
      </c>
      <c r="N29" s="62" t="s">
        <v>136</v>
      </c>
      <c r="O29" s="63" t="s">
        <v>137</v>
      </c>
      <c r="P29" s="64" t="s">
        <v>138</v>
      </c>
    </row>
    <row r="30" spans="1:16" ht="12.75" customHeight="1" thickBot="1">
      <c r="A30" s="52" t="str">
        <f t="shared" si="0"/>
        <v>IBVS 6153 </v>
      </c>
      <c r="B30" s="6" t="str">
        <f t="shared" si="1"/>
        <v>II</v>
      </c>
      <c r="C30" s="52">
        <f t="shared" si="2"/>
        <v>54068.538099999998</v>
      </c>
      <c r="D30" s="25" t="str">
        <f t="shared" si="3"/>
        <v>vis</v>
      </c>
      <c r="E30" s="60">
        <f>VLOOKUP(C30,Active!C$21:E$972,3,FALSE)</f>
        <v>20765.516410601307</v>
      </c>
      <c r="F30" s="6" t="s">
        <v>72</v>
      </c>
      <c r="G30" s="25" t="str">
        <f t="shared" si="4"/>
        <v>54068.5381</v>
      </c>
      <c r="H30" s="52">
        <f t="shared" si="5"/>
        <v>5707.5</v>
      </c>
      <c r="I30" s="61" t="s">
        <v>148</v>
      </c>
      <c r="J30" s="62" t="s">
        <v>149</v>
      </c>
      <c r="K30" s="61">
        <v>5707.5</v>
      </c>
      <c r="L30" s="61" t="s">
        <v>150</v>
      </c>
      <c r="M30" s="62" t="s">
        <v>117</v>
      </c>
      <c r="N30" s="62" t="s">
        <v>136</v>
      </c>
      <c r="O30" s="63" t="s">
        <v>137</v>
      </c>
      <c r="P30" s="64" t="s">
        <v>138</v>
      </c>
    </row>
    <row r="31" spans="1:16" ht="12.75" customHeight="1" thickBot="1">
      <c r="A31" s="52" t="str">
        <f t="shared" si="0"/>
        <v>IBVS 6153 </v>
      </c>
      <c r="B31" s="6" t="str">
        <f t="shared" si="1"/>
        <v>I</v>
      </c>
      <c r="C31" s="52">
        <f t="shared" si="2"/>
        <v>54068.674800000001</v>
      </c>
      <c r="D31" s="25" t="str">
        <f t="shared" si="3"/>
        <v>vis</v>
      </c>
      <c r="E31" s="60">
        <f>VLOOKUP(C31,Active!C$21:E$972,3,FALSE)</f>
        <v>20766.01391108899</v>
      </c>
      <c r="F31" s="6" t="s">
        <v>72</v>
      </c>
      <c r="G31" s="25" t="str">
        <f t="shared" si="4"/>
        <v>54068.6748</v>
      </c>
      <c r="H31" s="52">
        <f t="shared" si="5"/>
        <v>5708</v>
      </c>
      <c r="I31" s="61" t="s">
        <v>151</v>
      </c>
      <c r="J31" s="62" t="s">
        <v>152</v>
      </c>
      <c r="K31" s="61">
        <v>5708</v>
      </c>
      <c r="L31" s="61" t="s">
        <v>153</v>
      </c>
      <c r="M31" s="62" t="s">
        <v>117</v>
      </c>
      <c r="N31" s="62" t="s">
        <v>72</v>
      </c>
      <c r="O31" s="63" t="s">
        <v>137</v>
      </c>
      <c r="P31" s="64" t="s">
        <v>138</v>
      </c>
    </row>
    <row r="32" spans="1:16" ht="12.75" customHeight="1" thickBot="1">
      <c r="A32" s="52" t="str">
        <f t="shared" si="0"/>
        <v>IBVS 5820 </v>
      </c>
      <c r="B32" s="6" t="str">
        <f t="shared" si="1"/>
        <v>II</v>
      </c>
      <c r="C32" s="52">
        <f t="shared" si="2"/>
        <v>54155.644</v>
      </c>
      <c r="D32" s="25" t="str">
        <f t="shared" si="3"/>
        <v>vis</v>
      </c>
      <c r="E32" s="60">
        <f>VLOOKUP(C32,Active!C$21:E$972,3,FALSE)</f>
        <v>21082.526123324809</v>
      </c>
      <c r="F32" s="6" t="s">
        <v>72</v>
      </c>
      <c r="G32" s="25" t="str">
        <f t="shared" si="4"/>
        <v>54155.6440</v>
      </c>
      <c r="H32" s="52">
        <f t="shared" si="5"/>
        <v>6024.5</v>
      </c>
      <c r="I32" s="61" t="s">
        <v>154</v>
      </c>
      <c r="J32" s="62" t="s">
        <v>155</v>
      </c>
      <c r="K32" s="61">
        <v>6024.5</v>
      </c>
      <c r="L32" s="61" t="s">
        <v>156</v>
      </c>
      <c r="M32" s="62" t="s">
        <v>117</v>
      </c>
      <c r="N32" s="62" t="s">
        <v>78</v>
      </c>
      <c r="O32" s="63" t="s">
        <v>157</v>
      </c>
      <c r="P32" s="64" t="s">
        <v>158</v>
      </c>
    </row>
    <row r="33" spans="1:16" ht="12.75" customHeight="1" thickBot="1">
      <c r="A33" s="52" t="str">
        <f t="shared" si="0"/>
        <v>IBVS 5887 </v>
      </c>
      <c r="B33" s="6" t="str">
        <f t="shared" si="1"/>
        <v>I</v>
      </c>
      <c r="C33" s="52">
        <f t="shared" si="2"/>
        <v>54844.368000000002</v>
      </c>
      <c r="D33" s="25" t="str">
        <f t="shared" si="3"/>
        <v>vis</v>
      </c>
      <c r="E33" s="60">
        <f>VLOOKUP(C33,Active!C$21:E$972,3,FALSE)</f>
        <v>23589.040577406286</v>
      </c>
      <c r="F33" s="6" t="s">
        <v>72</v>
      </c>
      <c r="G33" s="25" t="str">
        <f t="shared" si="4"/>
        <v>54844.3680</v>
      </c>
      <c r="H33" s="52">
        <f t="shared" si="5"/>
        <v>8531</v>
      </c>
      <c r="I33" s="61" t="s">
        <v>159</v>
      </c>
      <c r="J33" s="62" t="s">
        <v>160</v>
      </c>
      <c r="K33" s="61">
        <v>8531</v>
      </c>
      <c r="L33" s="61" t="s">
        <v>161</v>
      </c>
      <c r="M33" s="62" t="s">
        <v>117</v>
      </c>
      <c r="N33" s="62" t="s">
        <v>162</v>
      </c>
      <c r="O33" s="63" t="s">
        <v>163</v>
      </c>
      <c r="P33" s="64" t="s">
        <v>164</v>
      </c>
    </row>
    <row r="34" spans="1:16" ht="12.75" customHeight="1" thickBot="1">
      <c r="A34" s="52" t="str">
        <f t="shared" si="0"/>
        <v>IBVS 5887 </v>
      </c>
      <c r="B34" s="6" t="str">
        <f t="shared" si="1"/>
        <v>II</v>
      </c>
      <c r="C34" s="52">
        <f t="shared" si="2"/>
        <v>54844.502899999999</v>
      </c>
      <c r="D34" s="25" t="str">
        <f t="shared" si="3"/>
        <v>vis</v>
      </c>
      <c r="E34" s="60">
        <f>VLOOKUP(C34,Active!C$21:E$972,3,FALSE)</f>
        <v>23589.531527046267</v>
      </c>
      <c r="F34" s="6" t="s">
        <v>72</v>
      </c>
      <c r="G34" s="25" t="str">
        <f t="shared" si="4"/>
        <v>54844.5029</v>
      </c>
      <c r="H34" s="52">
        <f t="shared" si="5"/>
        <v>8531.5</v>
      </c>
      <c r="I34" s="61" t="s">
        <v>165</v>
      </c>
      <c r="J34" s="62" t="s">
        <v>166</v>
      </c>
      <c r="K34" s="61">
        <v>8531.5</v>
      </c>
      <c r="L34" s="61" t="s">
        <v>167</v>
      </c>
      <c r="M34" s="62" t="s">
        <v>117</v>
      </c>
      <c r="N34" s="62" t="s">
        <v>162</v>
      </c>
      <c r="O34" s="63" t="s">
        <v>168</v>
      </c>
      <c r="P34" s="64" t="s">
        <v>164</v>
      </c>
    </row>
    <row r="35" spans="1:16" ht="12.75" customHeight="1" thickBot="1">
      <c r="A35" s="52" t="str">
        <f t="shared" si="0"/>
        <v>IBVS 5887 </v>
      </c>
      <c r="B35" s="6" t="str">
        <f t="shared" si="1"/>
        <v>I</v>
      </c>
      <c r="C35" s="52">
        <f t="shared" si="2"/>
        <v>54845.469499999999</v>
      </c>
      <c r="D35" s="25" t="str">
        <f t="shared" si="3"/>
        <v>vis</v>
      </c>
      <c r="E35" s="60">
        <f>VLOOKUP(C35,Active!C$21:E$972,3,FALSE)</f>
        <v>23593.049332250263</v>
      </c>
      <c r="F35" s="6" t="s">
        <v>72</v>
      </c>
      <c r="G35" s="25" t="str">
        <f t="shared" si="4"/>
        <v>54845.4695</v>
      </c>
      <c r="H35" s="52">
        <f t="shared" si="5"/>
        <v>8535</v>
      </c>
      <c r="I35" s="61" t="s">
        <v>169</v>
      </c>
      <c r="J35" s="62" t="s">
        <v>170</v>
      </c>
      <c r="K35" s="61">
        <v>8535</v>
      </c>
      <c r="L35" s="61" t="s">
        <v>171</v>
      </c>
      <c r="M35" s="62" t="s">
        <v>117</v>
      </c>
      <c r="N35" s="62" t="s">
        <v>172</v>
      </c>
      <c r="O35" s="63" t="s">
        <v>173</v>
      </c>
      <c r="P35" s="64" t="s">
        <v>164</v>
      </c>
    </row>
    <row r="36" spans="1:16" ht="12.75" customHeight="1" thickBot="1">
      <c r="A36" s="52" t="str">
        <f t="shared" si="0"/>
        <v>IBVS 5887 </v>
      </c>
      <c r="B36" s="6" t="str">
        <f t="shared" si="1"/>
        <v>II</v>
      </c>
      <c r="C36" s="52">
        <f t="shared" si="2"/>
        <v>54845.6031</v>
      </c>
      <c r="D36" s="25" t="str">
        <f t="shared" si="3"/>
        <v>vis</v>
      </c>
      <c r="E36" s="60">
        <f>VLOOKUP(C36,Active!C$21:E$972,3,FALSE)</f>
        <v>23593.535550722492</v>
      </c>
      <c r="F36" s="6" t="s">
        <v>72</v>
      </c>
      <c r="G36" s="25" t="str">
        <f t="shared" si="4"/>
        <v>54845.6031</v>
      </c>
      <c r="H36" s="52">
        <f t="shared" si="5"/>
        <v>8535.5</v>
      </c>
      <c r="I36" s="61" t="s">
        <v>174</v>
      </c>
      <c r="J36" s="62" t="s">
        <v>175</v>
      </c>
      <c r="K36" s="61">
        <v>8535.5</v>
      </c>
      <c r="L36" s="61" t="s">
        <v>176</v>
      </c>
      <c r="M36" s="62" t="s">
        <v>117</v>
      </c>
      <c r="N36" s="62" t="s">
        <v>172</v>
      </c>
      <c r="O36" s="63" t="s">
        <v>177</v>
      </c>
      <c r="P36" s="64" t="s">
        <v>164</v>
      </c>
    </row>
    <row r="37" spans="1:16" ht="12.75" customHeight="1" thickBot="1">
      <c r="A37" s="52" t="str">
        <f t="shared" si="0"/>
        <v>IBVS 5887 </v>
      </c>
      <c r="B37" s="6" t="str">
        <f t="shared" si="1"/>
        <v>I</v>
      </c>
      <c r="C37" s="52">
        <f t="shared" si="2"/>
        <v>54851.512000000002</v>
      </c>
      <c r="D37" s="25" t="str">
        <f t="shared" si="3"/>
        <v>vis</v>
      </c>
      <c r="E37" s="60">
        <f>VLOOKUP(C37,Active!C$21:E$972,3,FALSE)</f>
        <v>23615.040163975009</v>
      </c>
      <c r="F37" s="6" t="s">
        <v>72</v>
      </c>
      <c r="G37" s="25" t="str">
        <f t="shared" si="4"/>
        <v>54851.5120</v>
      </c>
      <c r="H37" s="52">
        <f t="shared" si="5"/>
        <v>8557</v>
      </c>
      <c r="I37" s="61" t="s">
        <v>178</v>
      </c>
      <c r="J37" s="62" t="s">
        <v>179</v>
      </c>
      <c r="K37" s="61">
        <v>8557</v>
      </c>
      <c r="L37" s="61" t="s">
        <v>180</v>
      </c>
      <c r="M37" s="62" t="s">
        <v>117</v>
      </c>
      <c r="N37" s="62" t="s">
        <v>162</v>
      </c>
      <c r="O37" s="63" t="s">
        <v>181</v>
      </c>
      <c r="P37" s="64" t="s">
        <v>164</v>
      </c>
    </row>
    <row r="38" spans="1:16" ht="12.75" customHeight="1" thickBot="1">
      <c r="A38" s="52" t="str">
        <f t="shared" si="0"/>
        <v>IBVS 5887 </v>
      </c>
      <c r="B38" s="6" t="str">
        <f t="shared" si="1"/>
        <v>II</v>
      </c>
      <c r="C38" s="52">
        <f t="shared" si="2"/>
        <v>54851.648800000003</v>
      </c>
      <c r="D38" s="25" t="str">
        <f t="shared" si="3"/>
        <v>vis</v>
      </c>
      <c r="E38" s="60">
        <f>VLOOKUP(C38,Active!C$21:E$972,3,FALSE)</f>
        <v>23615.538028398667</v>
      </c>
      <c r="F38" s="6" t="s">
        <v>72</v>
      </c>
      <c r="G38" s="25" t="str">
        <f t="shared" si="4"/>
        <v>54851.6488</v>
      </c>
      <c r="H38" s="52">
        <f t="shared" si="5"/>
        <v>8557.5</v>
      </c>
      <c r="I38" s="61" t="s">
        <v>182</v>
      </c>
      <c r="J38" s="62" t="s">
        <v>183</v>
      </c>
      <c r="K38" s="61">
        <v>8557.5</v>
      </c>
      <c r="L38" s="61" t="s">
        <v>184</v>
      </c>
      <c r="M38" s="62" t="s">
        <v>117</v>
      </c>
      <c r="N38" s="62" t="s">
        <v>162</v>
      </c>
      <c r="O38" s="63" t="s">
        <v>185</v>
      </c>
      <c r="P38" s="64" t="s">
        <v>164</v>
      </c>
    </row>
    <row r="39" spans="1:16" ht="12.75" customHeight="1" thickBot="1">
      <c r="A39" s="52" t="str">
        <f t="shared" si="0"/>
        <v>IBVS 5929 </v>
      </c>
      <c r="B39" s="6" t="str">
        <f t="shared" si="1"/>
        <v>II</v>
      </c>
      <c r="C39" s="52">
        <f t="shared" si="2"/>
        <v>54862.637999999999</v>
      </c>
      <c r="D39" s="25" t="str">
        <f t="shared" si="3"/>
        <v>vis</v>
      </c>
      <c r="E39" s="60">
        <f>VLOOKUP(C39,Active!C$21:E$972,3,FALSE)</f>
        <v>23655.531681355122</v>
      </c>
      <c r="F39" s="6" t="s">
        <v>72</v>
      </c>
      <c r="G39" s="25" t="str">
        <f t="shared" si="4"/>
        <v>54862.638</v>
      </c>
      <c r="H39" s="52">
        <f t="shared" si="5"/>
        <v>8597.5</v>
      </c>
      <c r="I39" s="61" t="s">
        <v>186</v>
      </c>
      <c r="J39" s="62" t="s">
        <v>187</v>
      </c>
      <c r="K39" s="61">
        <v>8597.5</v>
      </c>
      <c r="L39" s="61" t="s">
        <v>188</v>
      </c>
      <c r="M39" s="62" t="s">
        <v>117</v>
      </c>
      <c r="N39" s="62" t="s">
        <v>64</v>
      </c>
      <c r="O39" s="63" t="s">
        <v>157</v>
      </c>
      <c r="P39" s="64" t="s">
        <v>189</v>
      </c>
    </row>
    <row r="40" spans="1:16" ht="12.75" customHeight="1" thickBot="1">
      <c r="A40" s="52" t="str">
        <f t="shared" si="0"/>
        <v>BAVM 228 </v>
      </c>
      <c r="B40" s="6" t="str">
        <f t="shared" si="1"/>
        <v>I</v>
      </c>
      <c r="C40" s="52">
        <f t="shared" si="2"/>
        <v>56003.380499999999</v>
      </c>
      <c r="D40" s="25" t="str">
        <f t="shared" si="3"/>
        <v>vis</v>
      </c>
      <c r="E40" s="60">
        <f>VLOOKUP(C40,Active!C$21:E$972,3,FALSE)</f>
        <v>27807.10410315984</v>
      </c>
      <c r="F40" s="6" t="s">
        <v>72</v>
      </c>
      <c r="G40" s="25" t="str">
        <f t="shared" si="4"/>
        <v>56003.3805</v>
      </c>
      <c r="H40" s="52">
        <f t="shared" si="5"/>
        <v>12749</v>
      </c>
      <c r="I40" s="61" t="s">
        <v>190</v>
      </c>
      <c r="J40" s="62" t="s">
        <v>191</v>
      </c>
      <c r="K40" s="61">
        <v>12749</v>
      </c>
      <c r="L40" s="61" t="s">
        <v>192</v>
      </c>
      <c r="M40" s="62" t="s">
        <v>117</v>
      </c>
      <c r="N40" s="62" t="s">
        <v>72</v>
      </c>
      <c r="O40" s="63" t="s">
        <v>193</v>
      </c>
      <c r="P40" s="64" t="s">
        <v>121</v>
      </c>
    </row>
    <row r="41" spans="1:16" ht="12.75" customHeight="1" thickBot="1">
      <c r="A41" s="52" t="str">
        <f t="shared" si="0"/>
        <v>BAVM 228 </v>
      </c>
      <c r="B41" s="6" t="str">
        <f t="shared" si="1"/>
        <v>II</v>
      </c>
      <c r="C41" s="52">
        <f t="shared" si="2"/>
        <v>56003.513400000003</v>
      </c>
      <c r="D41" s="25" t="str">
        <f t="shared" si="3"/>
        <v>vis</v>
      </c>
      <c r="E41" s="60">
        <f>VLOOKUP(C41,Active!C$21:E$972,3,FALSE)</f>
        <v>27807.587774080206</v>
      </c>
      <c r="F41" s="6" t="s">
        <v>72</v>
      </c>
      <c r="G41" s="25" t="str">
        <f t="shared" si="4"/>
        <v>56003.5134</v>
      </c>
      <c r="H41" s="52">
        <f t="shared" si="5"/>
        <v>12749.5</v>
      </c>
      <c r="I41" s="61" t="s">
        <v>194</v>
      </c>
      <c r="J41" s="62" t="s">
        <v>195</v>
      </c>
      <c r="K41" s="61">
        <v>12749.5</v>
      </c>
      <c r="L41" s="61" t="s">
        <v>196</v>
      </c>
      <c r="M41" s="62" t="s">
        <v>117</v>
      </c>
      <c r="N41" s="62" t="s">
        <v>72</v>
      </c>
      <c r="O41" s="63" t="s">
        <v>193</v>
      </c>
      <c r="P41" s="64" t="s">
        <v>121</v>
      </c>
    </row>
    <row r="42" spans="1:16" ht="12.75" customHeight="1" thickBot="1">
      <c r="A42" s="52" t="str">
        <f t="shared" si="0"/>
        <v>BAVM 228 </v>
      </c>
      <c r="B42" s="6" t="str">
        <f t="shared" si="1"/>
        <v>I</v>
      </c>
      <c r="C42" s="52">
        <f t="shared" si="2"/>
        <v>56014.374300000003</v>
      </c>
      <c r="D42" s="25" t="str">
        <f t="shared" si="3"/>
        <v>vis</v>
      </c>
      <c r="E42" s="60">
        <f>VLOOKUP(C42,Active!C$21:E$972,3,FALSE)</f>
        <v>27847.114497171504</v>
      </c>
      <c r="F42" s="6" t="s">
        <v>72</v>
      </c>
      <c r="G42" s="25" t="str">
        <f t="shared" si="4"/>
        <v>56014.3743</v>
      </c>
      <c r="H42" s="52">
        <f t="shared" si="5"/>
        <v>12789</v>
      </c>
      <c r="I42" s="61" t="s">
        <v>197</v>
      </c>
      <c r="J42" s="62" t="s">
        <v>198</v>
      </c>
      <c r="K42" s="61">
        <v>12789</v>
      </c>
      <c r="L42" s="61" t="s">
        <v>199</v>
      </c>
      <c r="M42" s="62" t="s">
        <v>117</v>
      </c>
      <c r="N42" s="62" t="s">
        <v>118</v>
      </c>
      <c r="O42" s="63" t="s">
        <v>119</v>
      </c>
      <c r="P42" s="64" t="s">
        <v>121</v>
      </c>
    </row>
    <row r="43" spans="1:16" ht="12.75" customHeight="1" thickBot="1">
      <c r="A43" s="52" t="str">
        <f t="shared" si="0"/>
        <v>BAVM 228 </v>
      </c>
      <c r="B43" s="6" t="str">
        <f t="shared" si="1"/>
        <v>II</v>
      </c>
      <c r="C43" s="52">
        <f t="shared" si="2"/>
        <v>56014.518199999999</v>
      </c>
      <c r="D43" s="25" t="str">
        <f t="shared" si="3"/>
        <v>vis</v>
      </c>
      <c r="E43" s="60">
        <f>VLOOKUP(C43,Active!C$21:E$972,3,FALSE)</f>
        <v>27847.638201049882</v>
      </c>
      <c r="F43" s="6" t="s">
        <v>72</v>
      </c>
      <c r="G43" s="25" t="str">
        <f t="shared" si="4"/>
        <v>56014.5182</v>
      </c>
      <c r="H43" s="52">
        <f t="shared" si="5"/>
        <v>12789.5</v>
      </c>
      <c r="I43" s="61" t="s">
        <v>200</v>
      </c>
      <c r="J43" s="62" t="s">
        <v>201</v>
      </c>
      <c r="K43" s="61">
        <v>12789.5</v>
      </c>
      <c r="L43" s="61" t="s">
        <v>144</v>
      </c>
      <c r="M43" s="62" t="s">
        <v>117</v>
      </c>
      <c r="N43" s="62" t="s">
        <v>118</v>
      </c>
      <c r="O43" s="63" t="s">
        <v>119</v>
      </c>
      <c r="P43" s="64" t="s">
        <v>121</v>
      </c>
    </row>
    <row r="44" spans="1:16" ht="12.75" customHeight="1" thickBot="1">
      <c r="A44" s="52" t="str">
        <f t="shared" si="0"/>
        <v>BAVM 232 </v>
      </c>
      <c r="B44" s="6" t="str">
        <f t="shared" si="1"/>
        <v>I</v>
      </c>
      <c r="C44" s="52">
        <f t="shared" si="2"/>
        <v>56355.3776</v>
      </c>
      <c r="D44" s="25" t="str">
        <f t="shared" si="3"/>
        <v>vis</v>
      </c>
      <c r="E44" s="60">
        <f>VLOOKUP(C44,Active!C$21:E$972,3,FALSE)</f>
        <v>29088.148206377908</v>
      </c>
      <c r="F44" s="6" t="s">
        <v>72</v>
      </c>
      <c r="G44" s="25" t="str">
        <f t="shared" si="4"/>
        <v>56355.3776</v>
      </c>
      <c r="H44" s="52">
        <f t="shared" si="5"/>
        <v>14030</v>
      </c>
      <c r="I44" s="61" t="s">
        <v>202</v>
      </c>
      <c r="J44" s="62" t="s">
        <v>203</v>
      </c>
      <c r="K44" s="61">
        <v>14030</v>
      </c>
      <c r="L44" s="61" t="s">
        <v>204</v>
      </c>
      <c r="M44" s="62" t="s">
        <v>117</v>
      </c>
      <c r="N44" s="62" t="s">
        <v>118</v>
      </c>
      <c r="O44" s="63" t="s">
        <v>119</v>
      </c>
      <c r="P44" s="64" t="s">
        <v>205</v>
      </c>
    </row>
    <row r="45" spans="1:16" ht="12.75" customHeight="1" thickBot="1">
      <c r="A45" s="52" t="str">
        <f t="shared" si="0"/>
        <v>IBVS 5760 </v>
      </c>
      <c r="B45" s="6" t="str">
        <f t="shared" si="1"/>
        <v>I</v>
      </c>
      <c r="C45" s="52">
        <f t="shared" si="2"/>
        <v>54029.675900000002</v>
      </c>
      <c r="D45" s="25" t="str">
        <f t="shared" si="3"/>
        <v>vis</v>
      </c>
      <c r="E45" s="60" t="e">
        <f>VLOOKUP(C45,Active!C$21:E$972,3,FALSE)</f>
        <v>#N/A</v>
      </c>
      <c r="F45" s="6" t="s">
        <v>72</v>
      </c>
      <c r="G45" s="25" t="str">
        <f t="shared" si="4"/>
        <v>54029.6759</v>
      </c>
      <c r="H45" s="52">
        <f t="shared" si="5"/>
        <v>5566</v>
      </c>
      <c r="I45" s="61" t="s">
        <v>128</v>
      </c>
      <c r="J45" s="62" t="s">
        <v>129</v>
      </c>
      <c r="K45" s="61">
        <v>5566</v>
      </c>
      <c r="L45" s="61" t="s">
        <v>130</v>
      </c>
      <c r="M45" s="62" t="s">
        <v>117</v>
      </c>
      <c r="N45" s="62" t="s">
        <v>131</v>
      </c>
      <c r="O45" s="63" t="s">
        <v>126</v>
      </c>
      <c r="P45" s="64" t="s">
        <v>132</v>
      </c>
    </row>
    <row r="46" spans="1:16">
      <c r="B46" s="6"/>
      <c r="E46" s="60"/>
      <c r="F46" s="6"/>
    </row>
    <row r="47" spans="1:16">
      <c r="B47" s="6"/>
      <c r="E47" s="60"/>
      <c r="F47" s="6"/>
    </row>
    <row r="48" spans="1:16">
      <c r="B48" s="6"/>
      <c r="E48" s="60"/>
      <c r="F48" s="6"/>
    </row>
    <row r="49" spans="2:6">
      <c r="B49" s="6"/>
      <c r="E49" s="60"/>
      <c r="F49" s="6"/>
    </row>
    <row r="50" spans="2:6">
      <c r="B50" s="6"/>
      <c r="E50" s="60"/>
      <c r="F50" s="6"/>
    </row>
    <row r="51" spans="2:6">
      <c r="B51" s="6"/>
      <c r="E51" s="60"/>
      <c r="F51" s="6"/>
    </row>
    <row r="52" spans="2:6">
      <c r="B52" s="6"/>
      <c r="E52" s="60"/>
      <c r="F52" s="6"/>
    </row>
    <row r="53" spans="2:6">
      <c r="B53" s="6"/>
      <c r="E53" s="60"/>
      <c r="F53" s="6"/>
    </row>
    <row r="54" spans="2:6">
      <c r="B54" s="6"/>
      <c r="E54" s="60"/>
      <c r="F54" s="6"/>
    </row>
    <row r="55" spans="2:6">
      <c r="B55" s="6"/>
      <c r="E55" s="60"/>
      <c r="F55" s="6"/>
    </row>
    <row r="56" spans="2:6">
      <c r="B56" s="6"/>
      <c r="E56" s="60"/>
      <c r="F56" s="6"/>
    </row>
    <row r="57" spans="2:6">
      <c r="B57" s="6"/>
      <c r="E57" s="60"/>
      <c r="F57" s="6"/>
    </row>
    <row r="58" spans="2:6">
      <c r="B58" s="6"/>
      <c r="E58" s="60"/>
      <c r="F58" s="6"/>
    </row>
    <row r="59" spans="2:6">
      <c r="B59" s="6"/>
      <c r="E59" s="60"/>
      <c r="F59" s="6"/>
    </row>
    <row r="60" spans="2:6">
      <c r="B60" s="6"/>
      <c r="E60" s="60"/>
      <c r="F60" s="6"/>
    </row>
    <row r="61" spans="2:6">
      <c r="B61" s="6"/>
      <c r="E61" s="60"/>
      <c r="F61" s="6"/>
    </row>
    <row r="62" spans="2:6">
      <c r="B62" s="6"/>
      <c r="E62" s="60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</sheetData>
  <phoneticPr fontId="8" type="noConversion"/>
  <hyperlinks>
    <hyperlink ref="P11" r:id="rId1" display="http://www.konkoly.hu/cgi-bin/IBVS?5387" xr:uid="{00000000-0004-0000-0200-000000000000}"/>
    <hyperlink ref="P12" r:id="rId2" display="http://www.konkoly.hu/cgi-bin/IBVS?5387" xr:uid="{00000000-0004-0000-0200-000001000000}"/>
    <hyperlink ref="P13" r:id="rId3" display="http://www.konkoly.hu/cgi-bin/IBVS?5387" xr:uid="{00000000-0004-0000-0200-000002000000}"/>
    <hyperlink ref="P14" r:id="rId4" display="http://www.konkoly.hu/cgi-bin/IBVS?5387" xr:uid="{00000000-0004-0000-0200-000003000000}"/>
    <hyperlink ref="P15" r:id="rId5" display="http://www.konkoly.hu/cgi-bin/IBVS?5387" xr:uid="{00000000-0004-0000-0200-000004000000}"/>
    <hyperlink ref="P16" r:id="rId6" display="http://www.konkoly.hu/cgi-bin/IBVS?5387" xr:uid="{00000000-0004-0000-0200-000005000000}"/>
    <hyperlink ref="P17" r:id="rId7" display="http://www.konkoly.hu/cgi-bin/IBVS?5387" xr:uid="{00000000-0004-0000-0200-000006000000}"/>
    <hyperlink ref="P18" r:id="rId8" display="http://www.konkoly.hu/cgi-bin/IBVS?5387" xr:uid="{00000000-0004-0000-0200-000007000000}"/>
    <hyperlink ref="P19" r:id="rId9" display="http://www.konkoly.hu/cgi-bin/IBVS?5387" xr:uid="{00000000-0004-0000-0200-000008000000}"/>
    <hyperlink ref="P20" r:id="rId10" display="http://www.konkoly.hu/cgi-bin/IBVS?5387" xr:uid="{00000000-0004-0000-0200-000009000000}"/>
    <hyperlink ref="P21" r:id="rId11" display="http://www.konkoly.hu/cgi-bin/IBVS?5387" xr:uid="{00000000-0004-0000-0200-00000A000000}"/>
    <hyperlink ref="P22" r:id="rId12" display="http://www.konkoly.hu/cgi-bin/IBVS?5387" xr:uid="{00000000-0004-0000-0200-00000B000000}"/>
    <hyperlink ref="P23" r:id="rId13" display="http://www.bav-astro.de/sfs/BAVM_link.php?BAVMnr=215" xr:uid="{00000000-0004-0000-0200-00000C000000}"/>
    <hyperlink ref="P24" r:id="rId14" display="http://www.bav-astro.de/sfs/BAVM_link.php?BAVMnr=228" xr:uid="{00000000-0004-0000-0200-00000D000000}"/>
    <hyperlink ref="P25" r:id="rId15" display="http://www.konkoly.hu/cgi-bin/IBVS?5672" xr:uid="{00000000-0004-0000-0200-00000E000000}"/>
    <hyperlink ref="P45" r:id="rId16" display="http://www.konkoly.hu/cgi-bin/IBVS?5760" xr:uid="{00000000-0004-0000-0200-00000F000000}"/>
    <hyperlink ref="P26" r:id="rId17" display="http://www.konkoly.hu/cgi-bin/IBVS?6153" xr:uid="{00000000-0004-0000-0200-000010000000}"/>
    <hyperlink ref="P27" r:id="rId18" display="http://www.konkoly.hu/cgi-bin/IBVS?6153" xr:uid="{00000000-0004-0000-0200-000011000000}"/>
    <hyperlink ref="P28" r:id="rId19" display="http://www.konkoly.hu/cgi-bin/IBVS?6153" xr:uid="{00000000-0004-0000-0200-000012000000}"/>
    <hyperlink ref="P29" r:id="rId20" display="http://www.konkoly.hu/cgi-bin/IBVS?6153" xr:uid="{00000000-0004-0000-0200-000013000000}"/>
    <hyperlink ref="P30" r:id="rId21" display="http://www.konkoly.hu/cgi-bin/IBVS?6153" xr:uid="{00000000-0004-0000-0200-000014000000}"/>
    <hyperlink ref="P31" r:id="rId22" display="http://www.konkoly.hu/cgi-bin/IBVS?6153" xr:uid="{00000000-0004-0000-0200-000015000000}"/>
    <hyperlink ref="P32" r:id="rId23" display="http://www.konkoly.hu/cgi-bin/IBVS?5820" xr:uid="{00000000-0004-0000-0200-000016000000}"/>
    <hyperlink ref="P33" r:id="rId24" display="http://www.konkoly.hu/cgi-bin/IBVS?5887" xr:uid="{00000000-0004-0000-0200-000017000000}"/>
    <hyperlink ref="P34" r:id="rId25" display="http://www.konkoly.hu/cgi-bin/IBVS?5887" xr:uid="{00000000-0004-0000-0200-000018000000}"/>
    <hyperlink ref="P35" r:id="rId26" display="http://www.konkoly.hu/cgi-bin/IBVS?5887" xr:uid="{00000000-0004-0000-0200-000019000000}"/>
    <hyperlink ref="P36" r:id="rId27" display="http://www.konkoly.hu/cgi-bin/IBVS?5887" xr:uid="{00000000-0004-0000-0200-00001A000000}"/>
    <hyperlink ref="P37" r:id="rId28" display="http://www.konkoly.hu/cgi-bin/IBVS?5887" xr:uid="{00000000-0004-0000-0200-00001B000000}"/>
    <hyperlink ref="P38" r:id="rId29" display="http://www.konkoly.hu/cgi-bin/IBVS?5887" xr:uid="{00000000-0004-0000-0200-00001C000000}"/>
    <hyperlink ref="P39" r:id="rId30" display="http://www.konkoly.hu/cgi-bin/IBVS?5929" xr:uid="{00000000-0004-0000-0200-00001D000000}"/>
    <hyperlink ref="P40" r:id="rId31" display="http://www.bav-astro.de/sfs/BAVM_link.php?BAVMnr=228" xr:uid="{00000000-0004-0000-0200-00001E000000}"/>
    <hyperlink ref="P41" r:id="rId32" display="http://www.bav-astro.de/sfs/BAVM_link.php?BAVMnr=228" xr:uid="{00000000-0004-0000-0200-00001F000000}"/>
    <hyperlink ref="P42" r:id="rId33" display="http://www.bav-astro.de/sfs/BAVM_link.php?BAVMnr=228" xr:uid="{00000000-0004-0000-0200-000020000000}"/>
    <hyperlink ref="P43" r:id="rId34" display="http://www.bav-astro.de/sfs/BAVM_link.php?BAVMnr=228" xr:uid="{00000000-0004-0000-0200-000021000000}"/>
    <hyperlink ref="P44" r:id="rId35" display="http://www.bav-astro.de/sfs/BAVM_link.php?BAVMnr=232" xr:uid="{00000000-0004-0000-0200-000022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1"/>
  <sheetViews>
    <sheetView workbookViewId="0">
      <selection activeCell="B19" sqref="B19"/>
    </sheetView>
  </sheetViews>
  <sheetFormatPr defaultColWidth="10.28515625" defaultRowHeight="12.75"/>
  <cols>
    <col min="1" max="1" width="15.28515625" customWidth="1"/>
    <col min="2" max="2" width="5.140625" customWidth="1"/>
    <col min="3" max="3" width="11.85546875" customWidth="1"/>
    <col min="4" max="4" width="9.42578125" customWidth="1"/>
    <col min="5" max="6" width="8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26</v>
      </c>
      <c r="B2" t="s">
        <v>41</v>
      </c>
    </row>
    <row r="3" spans="1:4" ht="13.5" thickBot="1">
      <c r="B3" s="11" t="s">
        <v>40</v>
      </c>
    </row>
    <row r="4" spans="1:4" ht="14.25" thickTop="1" thickBot="1">
      <c r="A4" s="8" t="s">
        <v>1</v>
      </c>
      <c r="C4" s="12" t="s">
        <v>32</v>
      </c>
      <c r="D4" s="13" t="s">
        <v>32</v>
      </c>
    </row>
    <row r="6" spans="1:4">
      <c r="A6" s="8" t="s">
        <v>2</v>
      </c>
    </row>
    <row r="7" spans="1:4">
      <c r="A7" t="s">
        <v>3</v>
      </c>
      <c r="C7">
        <v>53732.079686800003</v>
      </c>
      <c r="D7" s="14" t="s">
        <v>33</v>
      </c>
    </row>
    <row r="8" spans="1:4">
      <c r="A8" t="s">
        <v>4</v>
      </c>
      <c r="C8">
        <v>0.27478924465897625</v>
      </c>
      <c r="D8" s="15">
        <v>5387</v>
      </c>
    </row>
    <row r="10" spans="1:4" ht="13.5" thickBot="1">
      <c r="C10" s="7" t="s">
        <v>21</v>
      </c>
      <c r="D10" s="7" t="s">
        <v>22</v>
      </c>
    </row>
    <row r="11" spans="1:4">
      <c r="A11" t="s">
        <v>17</v>
      </c>
      <c r="C11">
        <f>INTERCEPT(G21:G998,$F21:$F998)</f>
        <v>-4.6382820828900963E-4</v>
      </c>
      <c r="D11" s="6"/>
    </row>
    <row r="12" spans="1:4">
      <c r="A12" t="s">
        <v>18</v>
      </c>
      <c r="C12">
        <f>SLOPE(G21:G998,$F21:$F998)</f>
        <v>1.6471918726496744E-16</v>
      </c>
      <c r="D12" s="6"/>
    </row>
    <row r="13" spans="1:4">
      <c r="A13" t="s">
        <v>20</v>
      </c>
      <c r="C13" s="6" t="s">
        <v>15</v>
      </c>
      <c r="D13" s="6"/>
    </row>
    <row r="14" spans="1:4">
      <c r="A14" t="s">
        <v>25</v>
      </c>
    </row>
    <row r="15" spans="1:4">
      <c r="A15" s="3" t="s">
        <v>19</v>
      </c>
      <c r="C15">
        <f>+D15+C8/2</f>
        <v>53732.079694622335</v>
      </c>
      <c r="D15">
        <v>53731.942300000002</v>
      </c>
    </row>
    <row r="16" spans="1:4">
      <c r="A16" s="8" t="s">
        <v>5</v>
      </c>
      <c r="C16">
        <f>+C8+C12</f>
        <v>0.27478924465897642</v>
      </c>
    </row>
    <row r="17" spans="1:17" ht="13.5" thickBot="1"/>
    <row r="18" spans="1:17">
      <c r="A18" s="8" t="s">
        <v>6</v>
      </c>
      <c r="C18" s="4">
        <f>+C15</f>
        <v>53732.079694622335</v>
      </c>
      <c r="D18" s="5">
        <f>+C16</f>
        <v>0.27478924465897642</v>
      </c>
    </row>
    <row r="19" spans="1:17" ht="13.5" thickTop="1">
      <c r="C19">
        <f>COUNT(C21:C758)</f>
        <v>14</v>
      </c>
    </row>
    <row r="20" spans="1:17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33</v>
      </c>
      <c r="J20" s="10" t="s">
        <v>37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16</v>
      </c>
    </row>
    <row r="21" spans="1:17">
      <c r="A21" s="16" t="s">
        <v>34</v>
      </c>
      <c r="B21" s="17" t="s">
        <v>35</v>
      </c>
      <c r="C21" s="18">
        <v>51185.3344</v>
      </c>
      <c r="D21" s="17">
        <v>4.0000000000000002E-4</v>
      </c>
      <c r="E21">
        <f t="shared" ref="E21:E34" si="0">+(C21-C$7)/C$8</f>
        <v>-9267.9947861882665</v>
      </c>
      <c r="F21">
        <f t="shared" ref="F21:F34" si="1">ROUND(2*E21,0)/2</f>
        <v>-9268</v>
      </c>
      <c r="G21">
        <f t="shared" ref="G21:G34" si="2">+C21-(C$7+F21*C$8)</f>
        <v>1.432699391443748E-3</v>
      </c>
      <c r="I21">
        <f t="shared" ref="I21:I32" si="3">+G21</f>
        <v>1.432699391443748E-3</v>
      </c>
      <c r="O21">
        <f t="shared" ref="O21:O34" si="4">+C$11+C$12*$F21</f>
        <v>-4.6382820981562706E-4</v>
      </c>
      <c r="Q21" s="2">
        <f t="shared" ref="Q21:Q34" si="5">+C21-15018.5</f>
        <v>36166.8344</v>
      </c>
    </row>
    <row r="22" spans="1:17">
      <c r="A22" s="16" t="s">
        <v>34</v>
      </c>
      <c r="B22" s="17" t="s">
        <v>36</v>
      </c>
      <c r="C22" s="18">
        <v>51185.472999999998</v>
      </c>
      <c r="D22" s="17">
        <v>2.9999999999999997E-4</v>
      </c>
      <c r="E22">
        <f t="shared" si="0"/>
        <v>-9267.4903996349622</v>
      </c>
      <c r="F22">
        <f t="shared" si="1"/>
        <v>-9267.5</v>
      </c>
      <c r="G22">
        <f t="shared" si="2"/>
        <v>2.6380770577816293E-3</v>
      </c>
      <c r="I22">
        <f t="shared" si="3"/>
        <v>2.6380770577816293E-3</v>
      </c>
      <c r="O22">
        <f t="shared" si="4"/>
        <v>-4.6382820981554472E-4</v>
      </c>
      <c r="Q22" s="2">
        <f t="shared" si="5"/>
        <v>36166.972999999998</v>
      </c>
    </row>
    <row r="23" spans="1:17">
      <c r="A23" s="16" t="s">
        <v>34</v>
      </c>
      <c r="B23" s="17" t="s">
        <v>35</v>
      </c>
      <c r="C23" s="18">
        <v>51186.434999999998</v>
      </c>
      <c r="D23" s="17">
        <v>2.9999999999999997E-4</v>
      </c>
      <c r="E23">
        <f t="shared" si="0"/>
        <v>-9263.9895348132941</v>
      </c>
      <c r="F23">
        <f t="shared" si="1"/>
        <v>-9264</v>
      </c>
      <c r="G23">
        <f t="shared" si="2"/>
        <v>2.8757207473972812E-3</v>
      </c>
      <c r="I23">
        <f t="shared" si="3"/>
        <v>2.8757207473972812E-3</v>
      </c>
      <c r="O23">
        <f t="shared" si="4"/>
        <v>-4.6382820981496819E-4</v>
      </c>
      <c r="Q23" s="2">
        <f t="shared" si="5"/>
        <v>36167.934999999998</v>
      </c>
    </row>
    <row r="24" spans="1:17">
      <c r="A24" s="16" t="s">
        <v>34</v>
      </c>
      <c r="B24" s="17" t="s">
        <v>36</v>
      </c>
      <c r="C24" s="18">
        <v>51192.339599999999</v>
      </c>
      <c r="D24" s="17">
        <v>4.0000000000000002E-4</v>
      </c>
      <c r="E24">
        <f t="shared" si="0"/>
        <v>-9242.5017942456834</v>
      </c>
      <c r="F24">
        <f t="shared" si="1"/>
        <v>-9242.5</v>
      </c>
      <c r="G24">
        <f t="shared" si="2"/>
        <v>-4.9303941341349855E-4</v>
      </c>
      <c r="I24">
        <f t="shared" si="3"/>
        <v>-4.9303941341349855E-4</v>
      </c>
      <c r="O24">
        <f t="shared" si="4"/>
        <v>-4.638282098114267E-4</v>
      </c>
      <c r="Q24" s="2">
        <f t="shared" si="5"/>
        <v>36173.839599999999</v>
      </c>
    </row>
    <row r="25" spans="1:17">
      <c r="A25" s="16" t="s">
        <v>34</v>
      </c>
      <c r="B25" s="17" t="s">
        <v>35</v>
      </c>
      <c r="C25" s="18">
        <v>51192.477200000001</v>
      </c>
      <c r="D25" s="17">
        <v>8.0000000000000004E-4</v>
      </c>
      <c r="E25">
        <f t="shared" si="0"/>
        <v>-9242.0010468449891</v>
      </c>
      <c r="F25">
        <f t="shared" si="1"/>
        <v>-9242</v>
      </c>
      <c r="G25">
        <f t="shared" si="2"/>
        <v>-2.8766174364136532E-4</v>
      </c>
      <c r="I25">
        <f t="shared" si="3"/>
        <v>-2.8766174364136532E-4</v>
      </c>
      <c r="O25">
        <f t="shared" si="4"/>
        <v>-4.6382820981134436E-4</v>
      </c>
      <c r="Q25" s="2">
        <f t="shared" si="5"/>
        <v>36173.977200000001</v>
      </c>
    </row>
    <row r="26" spans="1:17">
      <c r="A26" s="16" t="s">
        <v>34</v>
      </c>
      <c r="B26" s="17" t="s">
        <v>36</v>
      </c>
      <c r="C26" s="18">
        <v>51215.421699999999</v>
      </c>
      <c r="D26" s="17">
        <v>2.0000000000000001E-4</v>
      </c>
      <c r="E26">
        <f t="shared" si="0"/>
        <v>-9158.5025095260607</v>
      </c>
      <c r="F26">
        <f t="shared" si="1"/>
        <v>-9158.5</v>
      </c>
      <c r="G26">
        <f t="shared" si="2"/>
        <v>-6.8959077179897577E-4</v>
      </c>
      <c r="I26">
        <f t="shared" si="3"/>
        <v>-6.8959077179897577E-4</v>
      </c>
      <c r="O26">
        <f t="shared" si="4"/>
        <v>-4.6382820979759033E-4</v>
      </c>
      <c r="Q26" s="2">
        <f t="shared" si="5"/>
        <v>36196.921699999999</v>
      </c>
    </row>
    <row r="27" spans="1:17">
      <c r="A27" s="16" t="s">
        <v>34</v>
      </c>
      <c r="B27" s="17" t="s">
        <v>35</v>
      </c>
      <c r="C27" s="18">
        <v>51221.3292</v>
      </c>
      <c r="D27" s="17">
        <v>2.0000000000000001E-4</v>
      </c>
      <c r="E27">
        <f t="shared" si="0"/>
        <v>-9137.0042154158491</v>
      </c>
      <c r="F27">
        <f t="shared" si="1"/>
        <v>-9137</v>
      </c>
      <c r="G27">
        <f t="shared" si="2"/>
        <v>-1.158350940386299E-3</v>
      </c>
      <c r="I27">
        <f t="shared" si="3"/>
        <v>-1.158350940386299E-3</v>
      </c>
      <c r="O27">
        <f t="shared" si="4"/>
        <v>-4.6382820979404884E-4</v>
      </c>
      <c r="Q27" s="2">
        <f t="shared" si="5"/>
        <v>36202.8292</v>
      </c>
    </row>
    <row r="28" spans="1:17">
      <c r="A28" s="16" t="s">
        <v>34</v>
      </c>
      <c r="B28" s="17" t="s">
        <v>35</v>
      </c>
      <c r="C28" s="18">
        <v>51222.427499999998</v>
      </c>
      <c r="D28" s="17">
        <v>2.0000000000000001E-4</v>
      </c>
      <c r="E28">
        <f t="shared" si="0"/>
        <v>-9133.0073340919062</v>
      </c>
      <c r="F28">
        <f t="shared" si="1"/>
        <v>-9133</v>
      </c>
      <c r="G28">
        <f t="shared" si="2"/>
        <v>-2.015329577261582E-3</v>
      </c>
      <c r="I28">
        <f t="shared" si="3"/>
        <v>-2.015329577261582E-3</v>
      </c>
      <c r="O28">
        <f t="shared" si="4"/>
        <v>-4.6382820979338997E-4</v>
      </c>
      <c r="Q28" s="2">
        <f t="shared" si="5"/>
        <v>36203.927499999998</v>
      </c>
    </row>
    <row r="29" spans="1:17">
      <c r="A29" s="16" t="s">
        <v>34</v>
      </c>
      <c r="B29" s="17" t="s">
        <v>36</v>
      </c>
      <c r="C29" s="18">
        <v>51223.390399999997</v>
      </c>
      <c r="D29" s="17">
        <v>5.0000000000000001E-4</v>
      </c>
      <c r="E29">
        <f t="shared" si="0"/>
        <v>-9129.5031940328827</v>
      </c>
      <c r="F29">
        <f t="shared" si="1"/>
        <v>-9129.5</v>
      </c>
      <c r="G29">
        <f t="shared" si="2"/>
        <v>-8.7768588127801195E-4</v>
      </c>
      <c r="I29">
        <f t="shared" si="3"/>
        <v>-8.7768588127801195E-4</v>
      </c>
      <c r="O29">
        <f t="shared" si="4"/>
        <v>-4.6382820979281344E-4</v>
      </c>
      <c r="Q29" s="2">
        <f t="shared" si="5"/>
        <v>36204.890399999997</v>
      </c>
    </row>
    <row r="30" spans="1:17">
      <c r="A30" s="16" t="s">
        <v>34</v>
      </c>
      <c r="B30" s="17" t="s">
        <v>36</v>
      </c>
      <c r="C30" s="18">
        <v>51226.413099999998</v>
      </c>
      <c r="D30" s="17">
        <v>5.0000000000000001E-4</v>
      </c>
      <c r="E30">
        <f t="shared" si="0"/>
        <v>-9118.5031274045377</v>
      </c>
      <c r="F30">
        <f t="shared" si="1"/>
        <v>-9118.5</v>
      </c>
      <c r="G30">
        <f t="shared" si="2"/>
        <v>-8.5937712719896808E-4</v>
      </c>
      <c r="I30">
        <f t="shared" si="3"/>
        <v>-8.5937712719896808E-4</v>
      </c>
      <c r="O30">
        <f t="shared" si="4"/>
        <v>-4.6382820979100152E-4</v>
      </c>
      <c r="Q30" s="2">
        <f t="shared" si="5"/>
        <v>36207.913099999998</v>
      </c>
    </row>
    <row r="31" spans="1:17">
      <c r="A31" s="16" t="s">
        <v>34</v>
      </c>
      <c r="B31" s="17" t="s">
        <v>35</v>
      </c>
      <c r="C31" s="18">
        <v>51227.372300000003</v>
      </c>
      <c r="D31" s="17">
        <v>5.9999999999999995E-4</v>
      </c>
      <c r="E31">
        <f t="shared" si="0"/>
        <v>-9115.0124522101887</v>
      </c>
      <c r="F31">
        <f t="shared" si="1"/>
        <v>-9115</v>
      </c>
      <c r="G31">
        <f t="shared" si="2"/>
        <v>-3.4217334323329851E-3</v>
      </c>
      <c r="I31">
        <f t="shared" si="3"/>
        <v>-3.4217334323329851E-3</v>
      </c>
      <c r="O31">
        <f t="shared" si="4"/>
        <v>-4.63828209790425E-4</v>
      </c>
      <c r="Q31" s="2">
        <f t="shared" si="5"/>
        <v>36208.872300000003</v>
      </c>
    </row>
    <row r="32" spans="1:17">
      <c r="A32" s="16" t="s">
        <v>34</v>
      </c>
      <c r="B32" s="17" t="s">
        <v>35</v>
      </c>
      <c r="C32" s="18">
        <v>51258.423999999999</v>
      </c>
      <c r="D32" s="17">
        <v>4.0000000000000002E-4</v>
      </c>
      <c r="E32">
        <f t="shared" si="0"/>
        <v>-9002.0105767600326</v>
      </c>
      <c r="F32">
        <f t="shared" si="1"/>
        <v>-9002</v>
      </c>
      <c r="G32">
        <f t="shared" si="2"/>
        <v>-2.906379901105538E-3</v>
      </c>
      <c r="I32">
        <f t="shared" si="3"/>
        <v>-2.906379901105538E-3</v>
      </c>
      <c r="O32">
        <f t="shared" si="4"/>
        <v>-4.6382820977181174E-4</v>
      </c>
      <c r="Q32" s="2">
        <f t="shared" si="5"/>
        <v>36239.923999999999</v>
      </c>
    </row>
    <row r="33" spans="1:17">
      <c r="A33" s="19" t="s">
        <v>39</v>
      </c>
      <c r="B33" s="17"/>
      <c r="C33">
        <v>53731.942300000002</v>
      </c>
      <c r="D33" s="6">
        <v>2.9999999999999997E-4</v>
      </c>
      <c r="E33">
        <f t="shared" si="0"/>
        <v>-0.4999715333526612</v>
      </c>
      <c r="F33">
        <f t="shared" si="1"/>
        <v>-0.5</v>
      </c>
      <c r="G33">
        <f t="shared" si="2"/>
        <v>7.8223310993053019E-6</v>
      </c>
      <c r="J33">
        <f>+G33</f>
        <v>7.8223310993053019E-6</v>
      </c>
      <c r="O33">
        <f t="shared" si="4"/>
        <v>-4.6382820828909198E-4</v>
      </c>
      <c r="Q33" s="2">
        <f t="shared" si="5"/>
        <v>38713.442300000002</v>
      </c>
    </row>
    <row r="34" spans="1:17">
      <c r="A34" s="19" t="s">
        <v>38</v>
      </c>
      <c r="C34">
        <v>54029.6757</v>
      </c>
      <c r="D34" s="6">
        <v>2.9999999999999997E-4</v>
      </c>
      <c r="E34">
        <f t="shared" si="0"/>
        <v>1082.9973115189578</v>
      </c>
      <c r="F34">
        <f t="shared" si="1"/>
        <v>1083</v>
      </c>
      <c r="G34">
        <f t="shared" si="2"/>
        <v>-7.3876567330444232E-4</v>
      </c>
      <c r="J34">
        <f>+G34</f>
        <v>-7.3876567330444232E-4</v>
      </c>
      <c r="O34">
        <f t="shared" si="4"/>
        <v>-4.6382820811061875E-4</v>
      </c>
      <c r="Q34" s="2">
        <f t="shared" si="5"/>
        <v>39011.1757</v>
      </c>
    </row>
    <row r="35" spans="1:17">
      <c r="D35" s="6"/>
    </row>
    <row r="36" spans="1:17">
      <c r="D36" s="6"/>
    </row>
    <row r="37" spans="1:17">
      <c r="D37" s="6"/>
    </row>
    <row r="38" spans="1:17">
      <c r="D38" s="6"/>
    </row>
    <row r="39" spans="1:17">
      <c r="D39" s="6"/>
    </row>
    <row r="40" spans="1:17">
      <c r="D40" s="6"/>
    </row>
    <row r="41" spans="1:17">
      <c r="D41" s="6"/>
    </row>
    <row r="42" spans="1:17">
      <c r="D42" s="6"/>
    </row>
    <row r="43" spans="1:17">
      <c r="D43" s="6"/>
    </row>
    <row r="44" spans="1:17">
      <c r="D44" s="6"/>
    </row>
    <row r="45" spans="1:17">
      <c r="D45" s="6"/>
    </row>
    <row r="46" spans="1:17">
      <c r="D46" s="6"/>
    </row>
    <row r="47" spans="1:17">
      <c r="D47" s="6"/>
    </row>
    <row r="48" spans="1:17">
      <c r="D48" s="6"/>
    </row>
    <row r="49" spans="4:4">
      <c r="D49" s="6"/>
    </row>
    <row r="50" spans="4:4">
      <c r="D50" s="6"/>
    </row>
    <row r="51" spans="4:4">
      <c r="D51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BAV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2024-02-06T06:42:39Z</dcterms:modified>
</cp:coreProperties>
</file>