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A8500B8-3C59-4794-A595-24B2152ADA0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Q25" i="1"/>
  <c r="Q24" i="1"/>
  <c r="F11" i="1"/>
  <c r="Q23" i="1"/>
  <c r="E22" i="1"/>
  <c r="F22" i="1"/>
  <c r="Q22" i="1"/>
  <c r="G11" i="1"/>
  <c r="E14" i="1"/>
  <c r="E15" i="1" s="1"/>
  <c r="C21" i="1"/>
  <c r="Q21" i="1"/>
  <c r="A21" i="1"/>
  <c r="C7" i="1"/>
  <c r="E24" i="1"/>
  <c r="F24" i="1"/>
  <c r="C8" i="1"/>
  <c r="E23" i="1"/>
  <c r="F23" i="1"/>
  <c r="C17" i="1"/>
  <c r="E21" i="1"/>
  <c r="F21" i="1"/>
  <c r="G21" i="1"/>
  <c r="G24" i="1"/>
  <c r="I24" i="1"/>
  <c r="G23" i="1"/>
  <c r="H23" i="1"/>
  <c r="G22" i="1"/>
  <c r="I22" i="1"/>
  <c r="H21" i="1"/>
  <c r="C11" i="1"/>
  <c r="C12" i="1"/>
  <c r="C16" i="1" l="1"/>
  <c r="D18" i="1" s="1"/>
  <c r="O23" i="1"/>
  <c r="O21" i="1"/>
  <c r="O24" i="1"/>
  <c r="O25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<sst xmlns="http://schemas.openxmlformats.org/spreadsheetml/2006/main" count="57" uniqueCount="51">
  <si>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</si>
  <si>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</si>
  <si>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</si>
  <si>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</si>
  <si>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</si>
  <si>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</si>
  <si>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</si>
  <si>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</si>
  <si>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</si>
  <si>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</si>
  <si>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</si>
  <si>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</si>
  <si>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</si>
  <si>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</si>
  <si>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</si>
  <si>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</si>
  <si>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</si>
  <si>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</si>
  <si>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</si>
  <si>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</si>
  <si>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</si>
  <si>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</si>
  <si>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</si>
  <si>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</si>
  <si>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</si>
  <si>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</si>
  <si>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</si>
  <si>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</si>
  <si>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</si>
  <si>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</si>
  <si>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</si>
  <si>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</si>
  <si>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</si>
  <si>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</si>
  <si>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</si>
  <si>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</si>
  <si>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G1913-1465 _Gem.xls</t>
  </si>
  <si>
    <t>EA</t>
  </si>
  <si>
    <t>IBVS 5557 Eph.</t>
  </si>
  <si>
    <t>IBVS 5557</t>
  </si>
  <si>
    <t>Gem</t>
  </si>
  <si>
    <t>V0389 Gem / GSC 1913-1465 / NSV 17436</t>
  </si>
  <si>
    <t>Add cycle</t>
  </si>
  <si>
    <t>Old Cycle</t>
  </si>
  <si>
    <t>OEJV 0137</t>
  </si>
  <si>
    <t>I</t>
  </si>
  <si>
    <t>OEJV</t>
  </si>
  <si>
    <t>IBVS 6084</t>
  </si>
  <si>
    <t>IBVS 6152</t>
  </si>
  <si>
    <t>OEJV 0211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</si>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</sst>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7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V0389 Gem - O-C Diagr.</a:t>
            </a:r>
          </a:p>
        </c:rich>
      </c:tx>
      <c:layout>
        <c:manualLayout>
          <c:xMode val="edge"/>
          <c:yMode val="edge"/>
          <c:x val="0.36904187580782005"/>
          <c:y val="4.142147920659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9696061406221"/>
          <c:y val="0.14148320902702413"/>
          <c:w val="0.8129787250913878"/>
          <c:h val="0.64268162960568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</c:v>
                </c:pt>
                <c:pt idx="2">
                  <c:v>7442</c:v>
                </c:pt>
                <c:pt idx="3">
                  <c:v>8132</c:v>
                </c:pt>
                <c:pt idx="4">
                  <c:v>8803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2">
                  <c:v>-1.1320000005071051E-2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9-4367-B445-252BBDFED8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</c:v>
                </c:pt>
                <c:pt idx="2">
                  <c:v>7442</c:v>
                </c:pt>
                <c:pt idx="3">
                  <c:v>8132</c:v>
                </c:pt>
                <c:pt idx="4">
                  <c:v>8803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-4.5600000012200326E-3</c:v>
                </c:pt>
                <c:pt idx="3">
                  <c:v>-1.1520000000018626E-2</c:v>
                </c:pt>
                <c:pt idx="4">
                  <c:v>-1.2990000061108731E-2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D9-4367-B445-252BBDFED8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</c:v>
                </c:pt>
                <c:pt idx="2">
                  <c:v>7442</c:v>
                </c:pt>
                <c:pt idx="3">
                  <c:v>8132</c:v>
                </c:pt>
                <c:pt idx="4">
                  <c:v>8803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D9-4367-B445-252BBDFED8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</c:v>
                </c:pt>
                <c:pt idx="2">
                  <c:v>7442</c:v>
                </c:pt>
                <c:pt idx="3">
                  <c:v>8132</c:v>
                </c:pt>
                <c:pt idx="4">
                  <c:v>8803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D9-4367-B445-252BBDFED8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</c:v>
                </c:pt>
                <c:pt idx="2">
                  <c:v>7442</c:v>
                </c:pt>
                <c:pt idx="3">
                  <c:v>8132</c:v>
                </c:pt>
                <c:pt idx="4">
                  <c:v>8803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D9-4367-B445-252BBDFED8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</c:v>
                </c:pt>
                <c:pt idx="2">
                  <c:v>7442</c:v>
                </c:pt>
                <c:pt idx="3">
                  <c:v>8132</c:v>
                </c:pt>
                <c:pt idx="4">
                  <c:v>8803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D9-4367-B445-252BBDFED8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7.7000000000000002E-3</c:v>
                  </c:pt>
                  <c:pt idx="3">
                    <c:v>1.4E-3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</c:v>
                </c:pt>
                <c:pt idx="2">
                  <c:v>7442</c:v>
                </c:pt>
                <c:pt idx="3">
                  <c:v>8132</c:v>
                </c:pt>
                <c:pt idx="4">
                  <c:v>8803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D9-4367-B445-252BBDFED8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6690</c:v>
                </c:pt>
                <c:pt idx="2">
                  <c:v>7442</c:v>
                </c:pt>
                <c:pt idx="3">
                  <c:v>8132</c:v>
                </c:pt>
                <c:pt idx="4">
                  <c:v>8803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7.1877141692861836E-4</c:v>
                </c:pt>
                <c:pt idx="1">
                  <c:v>-8.7527579984411213E-3</c:v>
                </c:pt>
                <c:pt idx="2">
                  <c:v>-9.817420198793593E-3</c:v>
                </c:pt>
                <c:pt idx="3">
                  <c:v>-1.0794304398585091E-2</c:v>
                </c:pt>
                <c:pt idx="4">
                  <c:v>-1.1744288888527257E-2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D9-4367-B445-252BBDFED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299584"/>
        <c:axId val="1"/>
      </c:scatterChart>
      <c:valAx>
        <c:axId val="399299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574684206770224"/>
              <c:y val="0.84555476020042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603864849220137E-2"/>
              <c:y val="0.337393646908505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299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16</xdr:col>
      <xdr:colOff>180975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00A9BB9-345F-20D4-0307-E2A0BF842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0"/>
      <c r="F1" s="30" t="s">
        <v>36</v>
      </c>
      <c r="G1" s="31" t="s">
        <v>37</v>
      </c>
      <c r="H1" s="30" t="s">
        <v>38</v>
      </c>
      <c r="I1" s="31">
        <v>48536.929000000004</v>
      </c>
      <c r="J1" s="31">
        <v>1.04776</v>
      </c>
      <c r="K1" s="31" t="s">
        <v>39</v>
      </c>
      <c r="L1" s="31" t="s">
        <v>40</v>
      </c>
    </row>
    <row r="2" spans="1:12" x14ac:dyDescent="0.2">
      <c r="A2" t="s">
        <v>22</v>
      </c>
      <c r="B2" t="s">
        <v>37</v>
      </c>
      <c r="C2" s="9" t="s">
        <v>40</v>
      </c>
    </row>
    <row r="3" spans="1:12" ht="13.5" thickBot="1" x14ac:dyDescent="0.25"/>
    <row r="4" spans="1:12" ht="14.25" thickTop="1" thickBot="1" x14ac:dyDescent="0.25">
      <c r="A4" s="29" t="s">
        <v>38</v>
      </c>
      <c r="C4" s="7">
        <v>48536.929000000004</v>
      </c>
      <c r="D4" s="8">
        <v>1.04776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48536.929000000004</v>
      </c>
    </row>
    <row r="8" spans="1:12" x14ac:dyDescent="0.2">
      <c r="A8" t="s">
        <v>2</v>
      </c>
      <c r="C8">
        <f>+D4</f>
        <v>1.04776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7.1877141692861836E-4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-1.4157742025963735E-6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42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60352.675955208331</v>
      </c>
    </row>
    <row r="15" spans="1:12" x14ac:dyDescent="0.2">
      <c r="A15" s="14" t="s">
        <v>16</v>
      </c>
      <c r="B15" s="11"/>
      <c r="C15" s="15">
        <f ca="1">(C7+C11)+(C8+C12)*INT(MAX(F21:F3533))</f>
        <v>57760.348535711113</v>
      </c>
      <c r="D15" s="16" t="s">
        <v>43</v>
      </c>
      <c r="E15" s="17">
        <f ca="1">ROUND(2*(E14-$C$7)/$C$8,0)/2+E13</f>
        <v>11278</v>
      </c>
    </row>
    <row r="16" spans="1:12" x14ac:dyDescent="0.2">
      <c r="A16" s="18" t="s">
        <v>3</v>
      </c>
      <c r="B16" s="11"/>
      <c r="C16" s="19">
        <f ca="1">+C8+C12</f>
        <v>1.0477585842257975</v>
      </c>
      <c r="D16" s="16" t="s">
        <v>32</v>
      </c>
      <c r="E16" s="26">
        <f ca="1">ROUND(2*(E14-$C$15)/$C$16,0)/2+E13</f>
        <v>2475</v>
      </c>
    </row>
    <row r="17" spans="1:17" ht="13.5" thickBot="1" x14ac:dyDescent="0.25">
      <c r="A17" s="16" t="s">
        <v>28</v>
      </c>
      <c r="B17" s="11"/>
      <c r="C17" s="11">
        <f>COUNT(C21:C2191)</f>
        <v>5</v>
      </c>
      <c r="D17" s="16" t="s">
        <v>33</v>
      </c>
      <c r="E17" s="20">
        <f ca="1">+$C$15+$C$16*E16-15018.5-$C$9/24</f>
        <v>45335.446865003301</v>
      </c>
    </row>
    <row r="18" spans="1:17" ht="14.25" thickTop="1" thickBot="1" x14ac:dyDescent="0.25">
      <c r="A18" s="18" t="s">
        <v>4</v>
      </c>
      <c r="B18" s="11"/>
      <c r="C18" s="21">
        <f ca="1">+C15</f>
        <v>57760.348535711113</v>
      </c>
      <c r="D18" s="22">
        <f ca="1">+C16</f>
        <v>1.0477585842257975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50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5557</v>
      </c>
      <c r="C21" s="9">
        <f>+$C$4</f>
        <v>48536.929000000004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7.1877141692861836E-4</v>
      </c>
      <c r="Q21" s="2">
        <f>+C21-15018.5</f>
        <v>33518.429000000004</v>
      </c>
    </row>
    <row r="22" spans="1:17" x14ac:dyDescent="0.2">
      <c r="A22" s="34" t="s">
        <v>44</v>
      </c>
      <c r="B22" s="35" t="s">
        <v>45</v>
      </c>
      <c r="C22" s="36">
        <v>55546.438840000003</v>
      </c>
      <c r="D22" s="36">
        <v>2.9999999999999997E-4</v>
      </c>
      <c r="E22">
        <f>+(C22-C$7)/C$8</f>
        <v>6689.9956478582872</v>
      </c>
      <c r="F22">
        <f>ROUND(2*E22,0)/2</f>
        <v>6690</v>
      </c>
      <c r="G22">
        <f>+C22-(C$7+F22*C$8)</f>
        <v>-4.5600000012200326E-3</v>
      </c>
      <c r="I22">
        <f>+G22</f>
        <v>-4.5600000012200326E-3</v>
      </c>
      <c r="O22">
        <f ca="1">+C$11+C$12*$F22</f>
        <v>-8.7527579984411213E-3</v>
      </c>
      <c r="Q22" s="2">
        <f>+C22-15018.5</f>
        <v>40527.938840000003</v>
      </c>
    </row>
    <row r="23" spans="1:17" x14ac:dyDescent="0.2">
      <c r="A23" s="33" t="s">
        <v>47</v>
      </c>
      <c r="B23" s="32" t="s">
        <v>45</v>
      </c>
      <c r="C23" s="33">
        <v>56334.347600000001</v>
      </c>
      <c r="D23" s="33">
        <v>7.7000000000000002E-3</v>
      </c>
      <c r="E23">
        <f>+(C23-C$7)/C$8</f>
        <v>7441.9891959990809</v>
      </c>
      <c r="F23">
        <f>ROUND(2*E23,0)/2</f>
        <v>7442</v>
      </c>
      <c r="G23">
        <f>+C23-(C$7+F23*C$8)</f>
        <v>-1.1320000005071051E-2</v>
      </c>
      <c r="H23">
        <f>+G23</f>
        <v>-1.1320000005071051E-2</v>
      </c>
      <c r="O23">
        <f ca="1">+C$11+C$12*$F23</f>
        <v>-9.817420198793593E-3</v>
      </c>
      <c r="Q23" s="2">
        <f>+C23-15018.5</f>
        <v>41315.847600000001</v>
      </c>
    </row>
    <row r="24" spans="1:17" x14ac:dyDescent="0.2">
      <c r="A24" s="37" t="s">
        <v>48</v>
      </c>
      <c r="B24" s="38"/>
      <c r="C24" s="37">
        <v>57057.301800000001</v>
      </c>
      <c r="D24" s="37">
        <v>1.4E-3</v>
      </c>
      <c r="E24">
        <f>+(C24-C$7)/C$8</f>
        <v>8131.9890051156726</v>
      </c>
      <c r="F24">
        <f>ROUND(2*E24,0)/2</f>
        <v>8132</v>
      </c>
      <c r="G24">
        <f>+C24-(C$7+F24*C$8)</f>
        <v>-1.1520000000018626E-2</v>
      </c>
      <c r="I24">
        <f>+G24</f>
        <v>-1.1520000000018626E-2</v>
      </c>
      <c r="O24">
        <f ca="1">+C$11+C$12*$F24</f>
        <v>-1.0794304398585091E-2</v>
      </c>
      <c r="Q24" s="2">
        <f>+C24-15018.5</f>
        <v>42038.801800000001</v>
      </c>
    </row>
    <row r="25" spans="1:17" x14ac:dyDescent="0.2">
      <c r="A25" s="39" t="s">
        <v>49</v>
      </c>
      <c r="B25" s="40" t="s">
        <v>45</v>
      </c>
      <c r="C25" s="41">
        <v>57760.347289999947</v>
      </c>
      <c r="D25" s="41">
        <v>2.9999999999999997E-4</v>
      </c>
      <c r="E25">
        <f>+(C25-C$7)/C$8</f>
        <v>8802.9876021225682</v>
      </c>
      <c r="F25">
        <f>ROUND(2*E25,0)/2</f>
        <v>8803</v>
      </c>
      <c r="G25">
        <f>+C25-(C$7+F25*C$8)</f>
        <v>-1.2990000061108731E-2</v>
      </c>
      <c r="I25">
        <f>+G25</f>
        <v>-1.2990000061108731E-2</v>
      </c>
      <c r="O25">
        <f ca="1">+C$11+C$12*$F25</f>
        <v>-1.1744288888527257E-2</v>
      </c>
      <c r="Q25" s="2">
        <f>+C25-15018.5</f>
        <v>42741.847289999947</v>
      </c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25:D2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2024-02-12T03:13:22Z</dcterms:modified>
</cp:coreProperties>
</file>