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8E5E3C3-6517-467C-8CEC-A0EA102692C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E41" i="1"/>
  <c r="F41" i="1"/>
  <c r="G41" i="1"/>
  <c r="Q41" i="1"/>
  <c r="E42" i="1"/>
  <c r="F42" i="1"/>
  <c r="G42" i="1"/>
  <c r="Q42" i="1"/>
  <c r="E43" i="1"/>
  <c r="F43" i="1"/>
  <c r="G43" i="1"/>
  <c r="Q43" i="1"/>
  <c r="Q33" i="1"/>
  <c r="Q34" i="1"/>
  <c r="C7" i="1"/>
  <c r="E33" i="1"/>
  <c r="F33" i="1"/>
  <c r="C8" i="1"/>
  <c r="E25" i="1"/>
  <c r="F25" i="1"/>
  <c r="G25" i="1"/>
  <c r="E27" i="1"/>
  <c r="F27" i="1"/>
  <c r="G27" i="1"/>
  <c r="E28" i="1"/>
  <c r="F28" i="1"/>
  <c r="G28" i="1"/>
  <c r="D9" i="1"/>
  <c r="C9" i="1"/>
  <c r="E24" i="1"/>
  <c r="F24" i="1"/>
  <c r="G24" i="1"/>
  <c r="Q27" i="1"/>
  <c r="Q28" i="1"/>
  <c r="Q29" i="1"/>
  <c r="Q30" i="1"/>
  <c r="Q31" i="1"/>
  <c r="Q32" i="1"/>
  <c r="F16" i="1"/>
  <c r="F17" i="1" s="1"/>
  <c r="F11" i="2"/>
  <c r="E22" i="2"/>
  <c r="F22" i="2"/>
  <c r="G22" i="2"/>
  <c r="H22" i="2"/>
  <c r="E26" i="2"/>
  <c r="F26" i="2"/>
  <c r="C7" i="2"/>
  <c r="E24" i="2"/>
  <c r="F24" i="2"/>
  <c r="G24" i="2"/>
  <c r="E21" i="2"/>
  <c r="F21" i="2"/>
  <c r="G21" i="2"/>
  <c r="G11" i="2"/>
  <c r="E15" i="2"/>
  <c r="C17" i="2"/>
  <c r="Q21" i="2"/>
  <c r="Q22" i="2"/>
  <c r="Q23" i="2"/>
  <c r="Q24" i="2"/>
  <c r="Q25" i="2"/>
  <c r="Q26" i="2"/>
  <c r="Q26" i="1"/>
  <c r="Q25" i="1"/>
  <c r="Q24" i="1"/>
  <c r="C17" i="1"/>
  <c r="Q21" i="1"/>
  <c r="Q22" i="1"/>
  <c r="Q23" i="1"/>
  <c r="E23" i="2"/>
  <c r="F23" i="2"/>
  <c r="G23" i="2"/>
  <c r="E21" i="1"/>
  <c r="F21" i="1"/>
  <c r="G21" i="1"/>
  <c r="I21" i="1"/>
  <c r="E31" i="1"/>
  <c r="F31" i="1"/>
  <c r="G31" i="1"/>
  <c r="E23" i="1"/>
  <c r="F23" i="1"/>
  <c r="G23" i="1"/>
  <c r="E26" i="1"/>
  <c r="F26" i="1"/>
  <c r="G26" i="1"/>
  <c r="E30" i="1"/>
  <c r="F30" i="1"/>
  <c r="G30" i="1"/>
  <c r="K31" i="1"/>
  <c r="K37" i="1"/>
  <c r="K40" i="1"/>
  <c r="K43" i="1"/>
  <c r="K39" i="1"/>
  <c r="K36" i="1"/>
  <c r="K42" i="1"/>
  <c r="K35" i="1"/>
  <c r="K41" i="1"/>
  <c r="K38" i="1"/>
  <c r="K28" i="1"/>
  <c r="K27" i="1"/>
  <c r="K30" i="1"/>
  <c r="J25" i="1"/>
  <c r="H24" i="2"/>
  <c r="J24" i="1"/>
  <c r="J26" i="1"/>
  <c r="I23" i="2"/>
  <c r="K23" i="1"/>
  <c r="H21" i="2"/>
  <c r="E34" i="1"/>
  <c r="F34" i="1"/>
  <c r="G34" i="1"/>
  <c r="E25" i="2"/>
  <c r="F25" i="2"/>
  <c r="G25" i="2"/>
  <c r="E32" i="1"/>
  <c r="F32" i="1"/>
  <c r="G32" i="1"/>
  <c r="G33" i="1"/>
  <c r="E29" i="1"/>
  <c r="F29" i="1"/>
  <c r="G29" i="1"/>
  <c r="E22" i="1"/>
  <c r="F22" i="1"/>
  <c r="G22" i="1"/>
  <c r="G26" i="2"/>
  <c r="K22" i="1"/>
  <c r="H26" i="2"/>
  <c r="K33" i="1"/>
  <c r="K32" i="1"/>
  <c r="K29" i="1"/>
  <c r="H25" i="2"/>
  <c r="K34" i="1"/>
  <c r="C11" i="1"/>
  <c r="C12" i="1"/>
  <c r="C11" i="2"/>
  <c r="C16" i="1" l="1"/>
  <c r="D18" i="1" s="1"/>
  <c r="O23" i="1"/>
  <c r="R23" i="1" s="1"/>
  <c r="O28" i="1"/>
  <c r="R28" i="1" s="1"/>
  <c r="O37" i="1"/>
  <c r="R37" i="1" s="1"/>
  <c r="O26" i="1"/>
  <c r="R26" i="1" s="1"/>
  <c r="O38" i="1"/>
  <c r="R38" i="1" s="1"/>
  <c r="O41" i="1"/>
  <c r="R41" i="1" s="1"/>
  <c r="O24" i="1"/>
  <c r="R24" i="1" s="1"/>
  <c r="O35" i="1"/>
  <c r="R35" i="1" s="1"/>
  <c r="O42" i="1"/>
  <c r="R42" i="1" s="1"/>
  <c r="C15" i="1"/>
  <c r="O40" i="1"/>
  <c r="R40" i="1" s="1"/>
  <c r="O36" i="1"/>
  <c r="R36" i="1" s="1"/>
  <c r="O39" i="1"/>
  <c r="R39" i="1" s="1"/>
  <c r="O25" i="1"/>
  <c r="R25" i="1" s="1"/>
  <c r="O32" i="1"/>
  <c r="R32" i="1" s="1"/>
  <c r="O33" i="1"/>
  <c r="R33" i="1" s="1"/>
  <c r="O22" i="1"/>
  <c r="R22" i="1" s="1"/>
  <c r="O27" i="1"/>
  <c r="R27" i="1" s="1"/>
  <c r="O31" i="1"/>
  <c r="R31" i="1" s="1"/>
  <c r="O30" i="1"/>
  <c r="R30" i="1" s="1"/>
  <c r="O34" i="1"/>
  <c r="R34" i="1" s="1"/>
  <c r="O29" i="1"/>
  <c r="R29" i="1" s="1"/>
  <c r="O43" i="1"/>
  <c r="R43" i="1" s="1"/>
  <c r="O21" i="1"/>
  <c r="C12" i="2"/>
  <c r="C16" i="2" l="1"/>
  <c r="D18" i="2" s="1"/>
  <c r="O22" i="2"/>
  <c r="R22" i="2" s="1"/>
  <c r="C15" i="2"/>
  <c r="O25" i="2"/>
  <c r="R25" i="2" s="1"/>
  <c r="O26" i="2"/>
  <c r="R26" i="2" s="1"/>
  <c r="O21" i="2"/>
  <c r="R21" i="2" s="1"/>
  <c r="O24" i="2"/>
  <c r="R24" i="2" s="1"/>
  <c r="O23" i="2"/>
  <c r="R23" i="2" s="1"/>
  <c r="C18" i="1"/>
  <c r="F18" i="1"/>
  <c r="F19" i="1" s="1"/>
  <c r="R19" i="1"/>
  <c r="R18" i="2" l="1"/>
  <c r="C18" i="2"/>
  <c r="E16" i="2"/>
  <c r="E17" i="2" s="1"/>
</calcChain>
</file>

<file path=xl/sharedStrings.xml><?xml version="1.0" encoding="utf-8"?>
<sst xmlns="http://schemas.openxmlformats.org/spreadsheetml/2006/main" count="144" uniqueCount="60">
  <si>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</si>
  <si>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</si>
  <si>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</si>
  <si>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</si>
  <si>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</si>
  <si>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</si>
  <si>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</si>
  <si>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</si>
  <si>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</si>
  <si>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</si>
  <si>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</si>
  <si>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</si>
  <si>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</si>
  <si>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</si>
  <si>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</si>
  <si>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</si>
  <si>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</si>
  <si>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</si>
  <si>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</si>
  <si>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</si>
  <si>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</si>
  <si>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</si>
  <si>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</si>
  <si>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</si>
  <si>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</si>
  <si>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</si>
  <si>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</si>
  <si>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</si>
  <si>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</si>
  <si>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</si>
  <si>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</si>
  <si>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</si>
  <si>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</si>
  <si>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</si>
  <si>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</si>
  <si>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</si>
  <si>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</si>
  <si>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</si>
  <si>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</si>
  <si>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</si>
  <si>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</si>
  <si>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</si>
  <si>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</si>
  <si>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Gem</t>
  </si>
  <si>
    <t>Nelson</t>
  </si>
  <si>
    <t>IBVS 5871</t>
  </si>
  <si>
    <t>II</t>
  </si>
  <si>
    <t>IBVS 5929</t>
  </si>
  <si>
    <t>IBVS 6118</t>
  </si>
  <si>
    <t>V416 Gem / GSC 1356-2826</t>
  </si>
  <si>
    <r>
      <t>diff</t>
    </r>
    <r>
      <rPr>
        <b/>
        <vertAlign val="superscript"/>
        <sz val="10"/>
        <rFont val="Arial"/>
        <family val="2"/>
      </rPr>
      <t>2</t>
    </r>
  </si>
  <si>
    <t>Add cycle</t>
  </si>
  <si>
    <t>Old Cycle</t>
  </si>
  <si>
    <t>I</t>
  </si>
  <si>
    <t>vis</t>
  </si>
  <si>
    <t>OEJV 0179</t>
  </si>
  <si>
    <t>VSB-64</t>
  </si>
  <si>
    <t>V</t>
  </si>
  <si>
    <t>OEJV 0211</t>
  </si>
  <si>
    <t>V0416 Gem / GSC 1356-2826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</si>
</sst>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15" fillId="24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24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8" fillId="0" borderId="0" xfId="0" applyFont="1" applyAlignment="1"/>
    <xf numFmtId="0" fontId="38" fillId="0" borderId="0" xfId="0" applyFont="1" applyBorder="1" applyAlignment="1">
      <alignment horizontal="center"/>
    </xf>
    <xf numFmtId="172" fontId="38" fillId="0" borderId="0" xfId="0" applyNumberFormat="1" applyFont="1" applyFill="1" applyBorder="1" applyAlignment="1" applyProtection="1">
      <alignment horizontal="left" vertical="top"/>
    </xf>
    <xf numFmtId="0" fontId="38" fillId="0" borderId="0" xfId="0" applyNumberFormat="1" applyFont="1" applyFill="1" applyBorder="1" applyAlignment="1" applyProtection="1">
      <alignment horizontal="left" vertical="top"/>
    </xf>
    <xf numFmtId="0" fontId="36" fillId="0" borderId="0" xfId="41" applyFont="1"/>
    <xf numFmtId="0" fontId="36" fillId="0" borderId="0" xfId="41" applyFont="1" applyAlignment="1">
      <alignment horizontal="center"/>
    </xf>
    <xf numFmtId="0" fontId="36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V0416 Gem - O-C Diagr.</a:t>
            </a:r>
          </a:p>
        </c:rich>
      </c:tx>
      <c:layout>
        <c:manualLayout>
          <c:xMode val="edge"/>
          <c:yMode val="edge"/>
          <c:x val="0.37091988130563797"/>
          <c:y val="3.4267909762813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2106824925816"/>
          <c:y val="0.14953316519776211"/>
          <c:w val="0.83679525222551931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41-4925-8C2C-4CA05C383E1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41-4925-8C2C-4CA05C383E1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3">
                  <c:v>1.5377800001297146</c:v>
                </c:pt>
                <c:pt idx="4">
                  <c:v>1.5369100001335028</c:v>
                </c:pt>
                <c:pt idx="5">
                  <c:v>1.5368400001389091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41-4925-8C2C-4CA05C383E1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0.7480300001334399</c:v>
                </c:pt>
                <c:pt idx="2">
                  <c:v>0.77657000013277866</c:v>
                </c:pt>
                <c:pt idx="6">
                  <c:v>1.5747300001312396</c:v>
                </c:pt>
                <c:pt idx="7">
                  <c:v>1.5747300001312396</c:v>
                </c:pt>
                <c:pt idx="8">
                  <c:v>1.5743200001306832</c:v>
                </c:pt>
                <c:pt idx="9">
                  <c:v>1.5743200001306832</c:v>
                </c:pt>
                <c:pt idx="10">
                  <c:v>1.5827300001328695</c:v>
                </c:pt>
                <c:pt idx="11">
                  <c:v>1.5827400001362548</c:v>
                </c:pt>
                <c:pt idx="12">
                  <c:v>1.5127300001404365</c:v>
                </c:pt>
                <c:pt idx="13">
                  <c:v>1.5141600001297775</c:v>
                </c:pt>
                <c:pt idx="14">
                  <c:v>1.4954300001627416</c:v>
                </c:pt>
                <c:pt idx="15">
                  <c:v>1.5097400002268841</c:v>
                </c:pt>
                <c:pt idx="16">
                  <c:v>1.5110200002891361</c:v>
                </c:pt>
                <c:pt idx="17">
                  <c:v>1.5104600000413484</c:v>
                </c:pt>
                <c:pt idx="18">
                  <c:v>1.5115500000465545</c:v>
                </c:pt>
                <c:pt idx="19">
                  <c:v>1.5174700002680765</c:v>
                </c:pt>
                <c:pt idx="20">
                  <c:v>1.5164999999615247</c:v>
                </c:pt>
                <c:pt idx="21">
                  <c:v>1.5142500000656582</c:v>
                </c:pt>
                <c:pt idx="22">
                  <c:v>1.5181600003124913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41-4925-8C2C-4CA05C383E1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41-4925-8C2C-4CA05C383E1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41-4925-8C2C-4CA05C383E1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5.9999999999999995E-4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1.1000000000000001E-3</c:v>
                  </c:pt>
                  <c:pt idx="21">
                    <c:v>5.9999999999999995E-4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41-4925-8C2C-4CA05C383E1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  <c:pt idx="6">
                  <c:v>16696.5</c:v>
                </c:pt>
                <c:pt idx="7">
                  <c:v>16696.5</c:v>
                </c:pt>
                <c:pt idx="8">
                  <c:v>16708.5</c:v>
                </c:pt>
                <c:pt idx="9">
                  <c:v>16708.5</c:v>
                </c:pt>
                <c:pt idx="10">
                  <c:v>16782</c:v>
                </c:pt>
                <c:pt idx="11">
                  <c:v>16782.5</c:v>
                </c:pt>
                <c:pt idx="12">
                  <c:v>18490.5</c:v>
                </c:pt>
                <c:pt idx="13">
                  <c:v>18491</c:v>
                </c:pt>
                <c:pt idx="14">
                  <c:v>18344</c:v>
                </c:pt>
                <c:pt idx="15">
                  <c:v>18456.5</c:v>
                </c:pt>
                <c:pt idx="16">
                  <c:v>18457</c:v>
                </c:pt>
                <c:pt idx="17">
                  <c:v>18468.5</c:v>
                </c:pt>
                <c:pt idx="18">
                  <c:v>18469</c:v>
                </c:pt>
                <c:pt idx="19">
                  <c:v>18523</c:v>
                </c:pt>
                <c:pt idx="20">
                  <c:v>18523.5</c:v>
                </c:pt>
                <c:pt idx="21">
                  <c:v>18531</c:v>
                </c:pt>
                <c:pt idx="22">
                  <c:v>18535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0.24339739074158651</c:v>
                </c:pt>
                <c:pt idx="1">
                  <c:v>0.75219157803848091</c:v>
                </c:pt>
                <c:pt idx="2">
                  <c:v>0.76544740505633169</c:v>
                </c:pt>
                <c:pt idx="3">
                  <c:v>1.2814989725082504</c:v>
                </c:pt>
                <c:pt idx="4">
                  <c:v>1.2815359999580211</c:v>
                </c:pt>
                <c:pt idx="5">
                  <c:v>1.2815730274077917</c:v>
                </c:pt>
                <c:pt idx="6">
                  <c:v>1.479855020928996</c:v>
                </c:pt>
                <c:pt idx="7">
                  <c:v>1.479855020928996</c:v>
                </c:pt>
                <c:pt idx="8">
                  <c:v>1.4807436797234887</c:v>
                </c:pt>
                <c:pt idx="9">
                  <c:v>1.4807436797234887</c:v>
                </c:pt>
                <c:pt idx="10">
                  <c:v>1.4861867148397572</c:v>
                </c:pt>
                <c:pt idx="11">
                  <c:v>1.4862237422895277</c:v>
                </c:pt>
                <c:pt idx="12">
                  <c:v>1.6127095107056684</c:v>
                </c:pt>
                <c:pt idx="13">
                  <c:v>1.6127465381554389</c:v>
                </c:pt>
                <c:pt idx="14">
                  <c:v>1.6018604679229023</c:v>
                </c:pt>
                <c:pt idx="15">
                  <c:v>1.6101916441212722</c:v>
                </c:pt>
                <c:pt idx="16">
                  <c:v>1.6102286715710428</c:v>
                </c:pt>
                <c:pt idx="17">
                  <c:v>1.611080302915765</c:v>
                </c:pt>
                <c:pt idx="18">
                  <c:v>1.6111173303655355</c:v>
                </c:pt>
                <c:pt idx="19">
                  <c:v>1.6151162949407531</c:v>
                </c:pt>
                <c:pt idx="20">
                  <c:v>1.6151533223905237</c:v>
                </c:pt>
                <c:pt idx="21">
                  <c:v>1.6157087341370817</c:v>
                </c:pt>
                <c:pt idx="22">
                  <c:v>1.6160049537352459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41-4925-8C2C-4CA05C383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9320"/>
        <c:axId val="1"/>
      </c:scatterChart>
      <c:valAx>
        <c:axId val="552649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80415430267057"/>
              <c:y val="0.8348936444294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676025312786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9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798219584569729E-2"/>
          <c:y val="0.88785308278183017"/>
          <c:w val="0.93026706231454004"/>
          <c:h val="9.34582870392735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1356-2826 - O-C Diagr.</a:t>
            </a:r>
          </a:p>
        </c:rich>
      </c:tx>
      <c:layout>
        <c:manualLayout>
          <c:xMode val="edge"/>
          <c:yMode val="edge"/>
          <c:x val="0.34135338345864663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5737704918032788"/>
          <c:w val="0.81052631578947365"/>
          <c:h val="0.603278688524590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-7.7249998721526936E-3</c:v>
                </c:pt>
                <c:pt idx="3">
                  <c:v>-4.1999998720712028E-3</c:v>
                </c:pt>
                <c:pt idx="4">
                  <c:v>-5.124999865074642E-3</c:v>
                </c:pt>
                <c:pt idx="5">
                  <c:v>-5.2499998637358658E-3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9F-43A3-9B8C-A465B581E919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2">
                  <c:v>1.1250001334701665E-3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9F-43A3-9B8C-A465B581E919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9F-43A3-9B8C-A465B581E919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9F-43A3-9B8C-A465B581E919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9F-43A3-9B8C-A465B581E919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9F-43A3-9B8C-A465B581E919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1.1000000000000001E-3</c:v>
                  </c:pt>
                  <c:pt idx="4">
                    <c:v>2.2000000000000001E-3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9F-43A3-9B8C-A465B581E919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6870.5</c:v>
                </c:pt>
                <c:pt idx="2">
                  <c:v>7049.5</c:v>
                </c:pt>
                <c:pt idx="3">
                  <c:v>14018</c:v>
                </c:pt>
                <c:pt idx="4">
                  <c:v>14018.5</c:v>
                </c:pt>
                <c:pt idx="5">
                  <c:v>14019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-5.8022291306120263E-4</c:v>
                </c:pt>
                <c:pt idx="1">
                  <c:v>-2.751964189465239E-3</c:v>
                </c:pt>
                <c:pt idx="2">
                  <c:v>-2.808545470081835E-3</c:v>
                </c:pt>
                <c:pt idx="3">
                  <c:v>-5.0112642073821077E-3</c:v>
                </c:pt>
                <c:pt idx="4">
                  <c:v>-5.0114222556519872E-3</c:v>
                </c:pt>
                <c:pt idx="5">
                  <c:v>-5.0115803039218667E-3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9F-43A3-9B8C-A465B581E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181600"/>
        <c:axId val="1"/>
      </c:scatterChart>
      <c:valAx>
        <c:axId val="30118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2950819672131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065573770491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18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037593984962407E-3"/>
          <c:y val="0.88852459016393448"/>
          <c:w val="0.99849624060150377"/>
          <c:h val="9.508196721311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57150</xdr:rowOff>
    </xdr:from>
    <xdr:to>
      <xdr:col>17</xdr:col>
      <xdr:colOff>219075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83D7284-C107-B7A1-0367-87CC7812E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17</xdr:row>
      <xdr:rowOff>9525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119A2733-7075-4033-F81A-8886CD9F1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zoomScaleNormal="100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6" ht="20.25" x14ac:dyDescent="0.2">
      <c r="A1" s="28" t="s">
        <v>59</v>
      </c>
      <c r="D1" t="s">
        <v>43</v>
      </c>
    </row>
    <row r="2" spans="1:6" ht="12.95" customHeight="1" x14ac:dyDescent="0.2">
      <c r="A2" t="s">
        <v>26</v>
      </c>
      <c r="B2" s="29" t="s">
        <v>40</v>
      </c>
      <c r="C2" s="2"/>
      <c r="D2" s="2"/>
    </row>
    <row r="3" spans="1:6" ht="12.95" customHeight="1" thickBot="1" x14ac:dyDescent="0.25"/>
    <row r="4" spans="1:6" ht="12.95" customHeight="1" thickTop="1" thickBot="1" x14ac:dyDescent="0.25">
      <c r="A4" s="30" t="s">
        <v>41</v>
      </c>
      <c r="C4" s="7">
        <v>53051.305999999866</v>
      </c>
      <c r="D4" s="8">
        <v>0.25613999999999998</v>
      </c>
    </row>
    <row r="5" spans="1:6" ht="12.95" customHeight="1" thickTop="1" x14ac:dyDescent="0.2">
      <c r="A5" s="10" t="s">
        <v>33</v>
      </c>
      <c r="B5" s="11"/>
      <c r="C5" s="12">
        <v>-9.5</v>
      </c>
      <c r="D5" s="11" t="s">
        <v>34</v>
      </c>
    </row>
    <row r="6" spans="1:6" ht="12.95" customHeight="1" x14ac:dyDescent="0.2">
      <c r="A6" s="4" t="s">
        <v>3</v>
      </c>
    </row>
    <row r="7" spans="1:6" ht="12.95" customHeight="1" x14ac:dyDescent="0.2">
      <c r="A7" t="s">
        <v>4</v>
      </c>
      <c r="C7">
        <f>+C4</f>
        <v>53051.305999999866</v>
      </c>
    </row>
    <row r="8" spans="1:6" ht="12.95" customHeight="1" x14ac:dyDescent="0.2">
      <c r="A8" t="s">
        <v>5</v>
      </c>
      <c r="C8">
        <f>+D4</f>
        <v>0.25613999999999998</v>
      </c>
      <c r="F8">
        <v>3</v>
      </c>
    </row>
    <row r="9" spans="1:6" ht="12.95" customHeight="1" x14ac:dyDescent="0.2">
      <c r="A9" s="26" t="s">
        <v>39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2.95" customHeight="1" thickBot="1" x14ac:dyDescent="0.25">
      <c r="A10" s="11"/>
      <c r="B10" s="11"/>
      <c r="C10" s="3" t="s">
        <v>22</v>
      </c>
      <c r="D10" s="3" t="s">
        <v>23</v>
      </c>
      <c r="E10" s="11"/>
    </row>
    <row r="11" spans="1:6" ht="12.95" customHeight="1" x14ac:dyDescent="0.2">
      <c r="A11" s="11" t="s">
        <v>17</v>
      </c>
      <c r="B11" s="11"/>
      <c r="C11" s="23">
        <f ca="1">INTERCEPT(INDIRECT($D$9):G992,INDIRECT($C$9):F992)</f>
        <v>0.24339739074158651</v>
      </c>
      <c r="D11" s="2"/>
      <c r="E11" s="11"/>
    </row>
    <row r="12" spans="1:6" ht="12.95" customHeight="1" x14ac:dyDescent="0.2">
      <c r="A12" s="11" t="s">
        <v>18</v>
      </c>
      <c r="B12" s="11"/>
      <c r="C12" s="23">
        <f ca="1">SLOPE(INDIRECT($D$9):G992,INDIRECT($C$9):F992)</f>
        <v>7.4054899541066058E-5</v>
      </c>
      <c r="D12" s="2"/>
      <c r="E12" s="11"/>
    </row>
    <row r="13" spans="1:6" ht="12.95" customHeight="1" x14ac:dyDescent="0.2">
      <c r="A13" s="11" t="s">
        <v>21</v>
      </c>
      <c r="B13" s="11"/>
      <c r="C13" s="2" t="s">
        <v>15</v>
      </c>
    </row>
    <row r="14" spans="1:6" ht="12.95" customHeight="1" x14ac:dyDescent="0.2">
      <c r="A14" s="11"/>
      <c r="B14" s="11"/>
      <c r="C14" s="11"/>
    </row>
    <row r="15" spans="1:6" ht="12.95" customHeight="1" x14ac:dyDescent="0.2">
      <c r="A15" s="13" t="s">
        <v>19</v>
      </c>
      <c r="B15" s="11"/>
      <c r="C15" s="14">
        <f ca="1">(C7+C11)+(C8+C12)*INT(MAX(F21:F3533))</f>
        <v>57800.476904953597</v>
      </c>
      <c r="E15" s="15" t="s">
        <v>51</v>
      </c>
      <c r="F15" s="12">
        <v>1</v>
      </c>
    </row>
    <row r="16" spans="1:6" ht="12.95" customHeight="1" x14ac:dyDescent="0.2">
      <c r="A16" s="17" t="s">
        <v>6</v>
      </c>
      <c r="B16" s="11"/>
      <c r="C16" s="18">
        <f ca="1">+C8+C12</f>
        <v>0.25621405489954102</v>
      </c>
      <c r="E16" s="15" t="s">
        <v>35</v>
      </c>
      <c r="F16" s="16">
        <f ca="1">NOW()+15018.5+$C$5/24</f>
        <v>60352.689301736107</v>
      </c>
    </row>
    <row r="17" spans="1:18" ht="12.95" customHeight="1" thickBot="1" x14ac:dyDescent="0.25">
      <c r="A17" s="15" t="s">
        <v>32</v>
      </c>
      <c r="B17" s="11"/>
      <c r="C17" s="11">
        <f>COUNT(C21:C2191)</f>
        <v>23</v>
      </c>
      <c r="E17" s="15" t="s">
        <v>52</v>
      </c>
      <c r="F17" s="16">
        <f ca="1">ROUND(2*(F16-$C$7)/$C$8,0)/2+F15</f>
        <v>28506.5</v>
      </c>
    </row>
    <row r="18" spans="1:18" ht="12.95" customHeight="1" thickTop="1" thickBot="1" x14ac:dyDescent="0.25">
      <c r="A18" s="17" t="s">
        <v>7</v>
      </c>
      <c r="B18" s="11"/>
      <c r="C18" s="20">
        <f ca="1">+C15</f>
        <v>57800.476904953597</v>
      </c>
      <c r="D18" s="21">
        <f ca="1">+C16</f>
        <v>0.25621405489954102</v>
      </c>
      <c r="E18" s="15" t="s">
        <v>36</v>
      </c>
      <c r="F18" s="25">
        <f ca="1">ROUND(2*(F16-$C$15)/$C$16,0)/2+F15</f>
        <v>9962.5</v>
      </c>
    </row>
    <row r="19" spans="1:18" ht="12.95" customHeight="1" thickTop="1" x14ac:dyDescent="0.2">
      <c r="E19" s="15" t="s">
        <v>37</v>
      </c>
      <c r="F19" s="19">
        <f ca="1">+$C$15+$C$16*F18-15018.5-$C$5/24</f>
        <v>45334.905260223612</v>
      </c>
      <c r="R19" s="42">
        <f ca="1">SQRT(SUM(R22:R27))</f>
        <v>0.45298936519765026</v>
      </c>
    </row>
    <row r="20" spans="1:18" ht="15" customHeight="1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54</v>
      </c>
      <c r="J20" s="6" t="s">
        <v>0</v>
      </c>
      <c r="K20" s="6" t="s">
        <v>1</v>
      </c>
      <c r="L20" s="6" t="s">
        <v>28</v>
      </c>
      <c r="M20" s="6" t="s">
        <v>29</v>
      </c>
      <c r="N20" s="6" t="s">
        <v>30</v>
      </c>
      <c r="O20" s="6" t="s">
        <v>25</v>
      </c>
      <c r="P20" s="5" t="s">
        <v>24</v>
      </c>
      <c r="Q20" s="3" t="s">
        <v>16</v>
      </c>
      <c r="R20" s="41" t="s">
        <v>50</v>
      </c>
    </row>
    <row r="21" spans="1:18" ht="12.95" customHeight="1" x14ac:dyDescent="0.2">
      <c r="A21" s="31" t="s">
        <v>42</v>
      </c>
      <c r="C21" s="9">
        <v>53051.305999999866</v>
      </c>
      <c r="D21" s="9" t="s">
        <v>15</v>
      </c>
      <c r="E21">
        <f t="shared" ref="E21:E34" si="0">+(C21-C$7)/C$8</f>
        <v>0</v>
      </c>
      <c r="F21">
        <f>ROUND(2*E21,0)/2</f>
        <v>0</v>
      </c>
      <c r="G21">
        <f t="shared" ref="G21:G34" si="1">+C21-(C$7+F21*C$8)</f>
        <v>0</v>
      </c>
      <c r="I21">
        <f>+G21</f>
        <v>0</v>
      </c>
      <c r="O21">
        <f t="shared" ref="O21:O34" ca="1" si="2">+C$11+C$12*$F21</f>
        <v>0.24339739074158651</v>
      </c>
      <c r="Q21" s="1">
        <f t="shared" ref="Q21:Q34" si="3">+C21-15018.5</f>
        <v>38032.805999999866</v>
      </c>
    </row>
    <row r="22" spans="1:18" ht="12.95" customHeight="1" x14ac:dyDescent="0.2">
      <c r="A22" s="34" t="s">
        <v>45</v>
      </c>
      <c r="B22" s="33" t="s">
        <v>46</v>
      </c>
      <c r="C22" s="35">
        <v>54811.863899999997</v>
      </c>
      <c r="D22" s="34">
        <v>1.2999999999999999E-3</v>
      </c>
      <c r="E22">
        <f t="shared" si="0"/>
        <v>6873.4203950969431</v>
      </c>
      <c r="F22" s="32">
        <f>ROUND(2*E22,0)/2-3</f>
        <v>6870.5</v>
      </c>
      <c r="G22">
        <f t="shared" si="1"/>
        <v>0.7480300001334399</v>
      </c>
      <c r="K22">
        <f>+G22</f>
        <v>0.7480300001334399</v>
      </c>
      <c r="O22">
        <f t="shared" ca="1" si="2"/>
        <v>0.75219157803848091</v>
      </c>
      <c r="Q22" s="1">
        <f t="shared" si="3"/>
        <v>39793.363899999997</v>
      </c>
      <c r="R22">
        <f t="shared" ref="R22:R34" ca="1" si="4">+(G22-O22)^2</f>
        <v>1.7318730659725556E-5</v>
      </c>
    </row>
    <row r="23" spans="1:18" ht="12.95" customHeight="1" x14ac:dyDescent="0.2">
      <c r="A23" s="4" t="s">
        <v>47</v>
      </c>
      <c r="C23" s="9">
        <v>54857.741499999996</v>
      </c>
      <c r="D23" s="9">
        <v>4.0000000000000002E-4</v>
      </c>
      <c r="E23">
        <f t="shared" si="0"/>
        <v>7052.531818537248</v>
      </c>
      <c r="F23" s="32">
        <f>ROUND(2*E23,0)/2-3</f>
        <v>7049.5</v>
      </c>
      <c r="G23">
        <f t="shared" si="1"/>
        <v>0.77657000013277866</v>
      </c>
      <c r="K23">
        <f>+G23</f>
        <v>0.77657000013277866</v>
      </c>
      <c r="O23">
        <f t="shared" ca="1" si="2"/>
        <v>0.76544740505633169</v>
      </c>
      <c r="Q23" s="1">
        <f t="shared" si="3"/>
        <v>39839.241499999996</v>
      </c>
      <c r="R23">
        <f t="shared" ca="1" si="4"/>
        <v>1.2371212123460243E-4</v>
      </c>
    </row>
    <row r="24" spans="1:18" ht="12.95" customHeight="1" x14ac:dyDescent="0.2">
      <c r="A24" s="43" t="s">
        <v>48</v>
      </c>
      <c r="B24" s="44" t="s">
        <v>53</v>
      </c>
      <c r="C24" s="45">
        <v>56643.414299999997</v>
      </c>
      <c r="D24" s="46">
        <v>1.1000000000000001E-3</v>
      </c>
      <c r="E24">
        <f t="shared" si="0"/>
        <v>14024.003669868553</v>
      </c>
      <c r="F24" s="40">
        <f t="shared" ref="F24:F43" si="5">ROUND(2*E24,0)/2-6</f>
        <v>14018</v>
      </c>
      <c r="G24">
        <f t="shared" si="1"/>
        <v>1.5377800001297146</v>
      </c>
      <c r="J24">
        <f>+G24</f>
        <v>1.5377800001297146</v>
      </c>
      <c r="O24">
        <f t="shared" ca="1" si="2"/>
        <v>1.2814989725082504</v>
      </c>
      <c r="Q24" s="1">
        <f t="shared" si="3"/>
        <v>41624.914299999997</v>
      </c>
      <c r="R24">
        <f t="shared" ca="1" si="4"/>
        <v>6.5679965118713698E-2</v>
      </c>
    </row>
    <row r="25" spans="1:18" ht="12.95" customHeight="1" x14ac:dyDescent="0.2">
      <c r="A25" s="43" t="s">
        <v>48</v>
      </c>
      <c r="B25" s="44" t="s">
        <v>53</v>
      </c>
      <c r="C25" s="45">
        <v>56643.541499999999</v>
      </c>
      <c r="D25" s="46">
        <v>2.2000000000000001E-3</v>
      </c>
      <c r="E25">
        <f t="shared" si="0"/>
        <v>14024.500273288568</v>
      </c>
      <c r="F25" s="40">
        <f t="shared" si="5"/>
        <v>14018.5</v>
      </c>
      <c r="G25">
        <f t="shared" si="1"/>
        <v>1.5369100001335028</v>
      </c>
      <c r="J25">
        <f>+G25</f>
        <v>1.5369100001335028</v>
      </c>
      <c r="O25">
        <f t="shared" ca="1" si="2"/>
        <v>1.2815359999580211</v>
      </c>
      <c r="Q25" s="1">
        <f t="shared" si="3"/>
        <v>41625.041499999999</v>
      </c>
      <c r="R25">
        <f t="shared" ca="1" si="4"/>
        <v>6.5215879965626888E-2</v>
      </c>
    </row>
    <row r="26" spans="1:18" ht="12.95" customHeight="1" x14ac:dyDescent="0.2">
      <c r="A26" s="43" t="s">
        <v>48</v>
      </c>
      <c r="B26" s="44" t="s">
        <v>53</v>
      </c>
      <c r="C26" s="45">
        <v>56643.669500000004</v>
      </c>
      <c r="D26" s="46">
        <v>2.0999999999999999E-3</v>
      </c>
      <c r="E26">
        <f t="shared" si="0"/>
        <v>14025.000000000538</v>
      </c>
      <c r="F26" s="40">
        <f t="shared" si="5"/>
        <v>14019</v>
      </c>
      <c r="G26">
        <f t="shared" si="1"/>
        <v>1.5368400001389091</v>
      </c>
      <c r="J26">
        <f>+G26</f>
        <v>1.5368400001389091</v>
      </c>
      <c r="O26">
        <f t="shared" ca="1" si="2"/>
        <v>1.2815730274077917</v>
      </c>
      <c r="Q26" s="1">
        <f t="shared" si="3"/>
        <v>41625.169500000004</v>
      </c>
      <c r="R26">
        <f t="shared" ca="1" si="4"/>
        <v>6.5161227367309046E-2</v>
      </c>
    </row>
    <row r="27" spans="1:18" ht="12.95" customHeight="1" x14ac:dyDescent="0.2">
      <c r="A27" s="47" t="s">
        <v>55</v>
      </c>
      <c r="B27" s="48" t="s">
        <v>46</v>
      </c>
      <c r="C27" s="49">
        <v>57329.522239999998</v>
      </c>
      <c r="D27" s="49">
        <v>1.1000000000000001E-3</v>
      </c>
      <c r="E27">
        <f t="shared" si="0"/>
        <v>16702.647926915488</v>
      </c>
      <c r="F27" s="40">
        <f t="shared" si="5"/>
        <v>16696.5</v>
      </c>
      <c r="G27">
        <f t="shared" si="1"/>
        <v>1.5747300001312396</v>
      </c>
      <c r="K27">
        <f t="shared" ref="K27:K34" si="6">+G27</f>
        <v>1.5747300001312396</v>
      </c>
      <c r="O27">
        <f t="shared" ca="1" si="2"/>
        <v>1.479855020928996</v>
      </c>
      <c r="Q27" s="1">
        <f t="shared" si="3"/>
        <v>42311.022239999998</v>
      </c>
      <c r="R27">
        <f t="shared" ca="1" si="4"/>
        <v>9.0012616786261622E-3</v>
      </c>
    </row>
    <row r="28" spans="1:18" ht="12.95" customHeight="1" x14ac:dyDescent="0.2">
      <c r="A28" s="47" t="s">
        <v>55</v>
      </c>
      <c r="B28" s="48" t="s">
        <v>46</v>
      </c>
      <c r="C28" s="49">
        <v>57329.522239999998</v>
      </c>
      <c r="D28" s="49">
        <v>1.1000000000000001E-3</v>
      </c>
      <c r="E28">
        <f t="shared" si="0"/>
        <v>16702.647926915488</v>
      </c>
      <c r="F28" s="40">
        <f t="shared" si="5"/>
        <v>16696.5</v>
      </c>
      <c r="G28">
        <f t="shared" si="1"/>
        <v>1.5747300001312396</v>
      </c>
      <c r="K28">
        <f t="shared" si="6"/>
        <v>1.5747300001312396</v>
      </c>
      <c r="O28">
        <f t="shared" ca="1" si="2"/>
        <v>1.479855020928996</v>
      </c>
      <c r="Q28" s="1">
        <f t="shared" si="3"/>
        <v>42311.022239999998</v>
      </c>
      <c r="R28">
        <f t="shared" ca="1" si="4"/>
        <v>9.0012616786261622E-3</v>
      </c>
    </row>
    <row r="29" spans="1:18" ht="12.95" customHeight="1" x14ac:dyDescent="0.2">
      <c r="A29" s="47" t="s">
        <v>55</v>
      </c>
      <c r="B29" s="48" t="s">
        <v>46</v>
      </c>
      <c r="C29" s="49">
        <v>57332.595509999999</v>
      </c>
      <c r="D29" s="49">
        <v>5.0000000000000001E-4</v>
      </c>
      <c r="E29">
        <f t="shared" si="0"/>
        <v>16714.646326228365</v>
      </c>
      <c r="F29" s="40">
        <f t="shared" si="5"/>
        <v>16708.5</v>
      </c>
      <c r="G29">
        <f t="shared" si="1"/>
        <v>1.5743200001306832</v>
      </c>
      <c r="K29">
        <f t="shared" si="6"/>
        <v>1.5743200001306832</v>
      </c>
      <c r="O29">
        <f t="shared" ca="1" si="2"/>
        <v>1.4807436797234887</v>
      </c>
      <c r="Q29" s="1">
        <f t="shared" si="3"/>
        <v>42314.095509999999</v>
      </c>
      <c r="R29">
        <f t="shared" ca="1" si="4"/>
        <v>8.7565277409499143E-3</v>
      </c>
    </row>
    <row r="30" spans="1:18" ht="12.95" customHeight="1" x14ac:dyDescent="0.2">
      <c r="A30" s="47" t="s">
        <v>55</v>
      </c>
      <c r="B30" s="48" t="s">
        <v>46</v>
      </c>
      <c r="C30" s="49">
        <v>57332.595509999999</v>
      </c>
      <c r="D30" s="49">
        <v>5.0000000000000001E-4</v>
      </c>
      <c r="E30">
        <f t="shared" si="0"/>
        <v>16714.646326228365</v>
      </c>
      <c r="F30" s="40">
        <f t="shared" si="5"/>
        <v>16708.5</v>
      </c>
      <c r="G30">
        <f t="shared" si="1"/>
        <v>1.5743200001306832</v>
      </c>
      <c r="K30">
        <f t="shared" si="6"/>
        <v>1.5743200001306832</v>
      </c>
      <c r="O30">
        <f t="shared" ca="1" si="2"/>
        <v>1.4807436797234887</v>
      </c>
      <c r="Q30" s="1">
        <f t="shared" si="3"/>
        <v>42314.095509999999</v>
      </c>
      <c r="R30">
        <f t="shared" ca="1" si="4"/>
        <v>8.7565277409499143E-3</v>
      </c>
    </row>
    <row r="31" spans="1:18" ht="12.95" customHeight="1" x14ac:dyDescent="0.2">
      <c r="A31" s="47" t="s">
        <v>55</v>
      </c>
      <c r="B31" s="48" t="s">
        <v>53</v>
      </c>
      <c r="C31" s="49">
        <v>57351.430209999999</v>
      </c>
      <c r="D31" s="49">
        <v>8.9999999999999998E-4</v>
      </c>
      <c r="E31">
        <f t="shared" si="0"/>
        <v>16788.179159834985</v>
      </c>
      <c r="F31" s="40">
        <f t="shared" si="5"/>
        <v>16782</v>
      </c>
      <c r="G31">
        <f t="shared" si="1"/>
        <v>1.5827300001328695</v>
      </c>
      <c r="K31">
        <f t="shared" si="6"/>
        <v>1.5827300001328695</v>
      </c>
      <c r="O31">
        <f t="shared" ca="1" si="2"/>
        <v>1.4861867148397572</v>
      </c>
      <c r="Q31" s="1">
        <f t="shared" si="3"/>
        <v>42332.930209999999</v>
      </c>
      <c r="R31">
        <f t="shared" ca="1" si="4"/>
        <v>9.3206059351872723E-3</v>
      </c>
    </row>
    <row r="32" spans="1:18" ht="12.95" customHeight="1" x14ac:dyDescent="0.2">
      <c r="A32" s="47" t="s">
        <v>55</v>
      </c>
      <c r="B32" s="48" t="s">
        <v>46</v>
      </c>
      <c r="C32" s="49">
        <v>57351.558290000001</v>
      </c>
      <c r="D32" s="49">
        <v>8.9999999999999998E-4</v>
      </c>
      <c r="E32">
        <f t="shared" si="0"/>
        <v>16788.679198876143</v>
      </c>
      <c r="F32" s="40">
        <f t="shared" si="5"/>
        <v>16782.5</v>
      </c>
      <c r="G32">
        <f t="shared" si="1"/>
        <v>1.5827400001362548</v>
      </c>
      <c r="K32">
        <f t="shared" si="6"/>
        <v>1.5827400001362548</v>
      </c>
      <c r="O32">
        <f t="shared" ca="1" si="2"/>
        <v>1.4862237422895277</v>
      </c>
      <c r="Q32" s="1">
        <f t="shared" si="3"/>
        <v>42333.058290000001</v>
      </c>
      <c r="R32">
        <f t="shared" ca="1" si="4"/>
        <v>9.3153880287359155E-3</v>
      </c>
    </row>
    <row r="33" spans="1:18" ht="12.95" customHeight="1" x14ac:dyDescent="0.2">
      <c r="A33" s="50" t="s">
        <v>56</v>
      </c>
      <c r="B33" s="51" t="s">
        <v>53</v>
      </c>
      <c r="C33" s="52">
        <v>57788.975400000003</v>
      </c>
      <c r="D33" s="53" t="s">
        <v>57</v>
      </c>
      <c r="E33">
        <f t="shared" si="0"/>
        <v>18496.405871789404</v>
      </c>
      <c r="F33" s="40">
        <f t="shared" si="5"/>
        <v>18490.5</v>
      </c>
      <c r="G33">
        <f t="shared" si="1"/>
        <v>1.5127300001404365</v>
      </c>
      <c r="K33">
        <f t="shared" si="6"/>
        <v>1.5127300001404365</v>
      </c>
      <c r="O33">
        <f t="shared" ca="1" si="2"/>
        <v>1.6127095107056684</v>
      </c>
      <c r="Q33" s="1">
        <f t="shared" si="3"/>
        <v>42770.475400000003</v>
      </c>
      <c r="R33">
        <f t="shared" ca="1" si="4"/>
        <v>9.9959025328633187E-3</v>
      </c>
    </row>
    <row r="34" spans="1:18" ht="12.95" customHeight="1" x14ac:dyDescent="0.2">
      <c r="A34" s="50" t="s">
        <v>56</v>
      </c>
      <c r="B34" s="51" t="s">
        <v>46</v>
      </c>
      <c r="C34" s="52">
        <v>57789.104899999998</v>
      </c>
      <c r="D34" s="53" t="s">
        <v>57</v>
      </c>
      <c r="E34">
        <f t="shared" si="0"/>
        <v>18496.911454673744</v>
      </c>
      <c r="F34" s="40">
        <f t="shared" si="5"/>
        <v>18491</v>
      </c>
      <c r="G34">
        <f t="shared" si="1"/>
        <v>1.5141600001297775</v>
      </c>
      <c r="K34">
        <f t="shared" si="6"/>
        <v>1.5141600001297775</v>
      </c>
      <c r="O34">
        <f t="shared" ca="1" si="2"/>
        <v>1.6127465381554389</v>
      </c>
      <c r="Q34" s="1">
        <f t="shared" si="3"/>
        <v>42770.604899999998</v>
      </c>
      <c r="R34">
        <f t="shared" ca="1" si="4"/>
        <v>9.7193054798851847E-3</v>
      </c>
    </row>
    <row r="35" spans="1:18" ht="12.95" customHeight="1" x14ac:dyDescent="0.2">
      <c r="A35" s="54" t="s">
        <v>58</v>
      </c>
      <c r="B35" s="55" t="s">
        <v>46</v>
      </c>
      <c r="C35" s="56">
        <v>57751.43359000003</v>
      </c>
      <c r="D35" s="56">
        <v>8.0000000000000004E-4</v>
      </c>
      <c r="E35">
        <f t="shared" ref="E35:E43" si="7">+(C35-C$7)/C$8</f>
        <v>18349.838330601095</v>
      </c>
      <c r="F35" s="40">
        <f t="shared" si="5"/>
        <v>18344</v>
      </c>
      <c r="G35">
        <f t="shared" ref="G35:G43" si="8">+C35-(C$7+F35*C$8)</f>
        <v>1.4954300001627416</v>
      </c>
      <c r="K35">
        <f t="shared" ref="K35:K43" si="9">+G35</f>
        <v>1.4954300001627416</v>
      </c>
      <c r="O35">
        <f t="shared" ref="O35:O43" ca="1" si="10">+C$11+C$12*$F35</f>
        <v>1.6018604679229023</v>
      </c>
      <c r="Q35" s="1">
        <f t="shared" ref="Q35:Q43" si="11">+C35-15018.5</f>
        <v>42732.93359000003</v>
      </c>
      <c r="R35">
        <f t="shared" ref="R35:R43" ca="1" si="12">+(G35-O35)^2</f>
        <v>1.1327444467646591E-2</v>
      </c>
    </row>
    <row r="36" spans="1:18" ht="12.95" customHeight="1" x14ac:dyDescent="0.2">
      <c r="A36" s="54" t="s">
        <v>58</v>
      </c>
      <c r="B36" s="55" t="s">
        <v>53</v>
      </c>
      <c r="C36" s="56">
        <v>57780.263650000095</v>
      </c>
      <c r="D36" s="56">
        <v>5.9999999999999995E-4</v>
      </c>
      <c r="E36">
        <f t="shared" si="7"/>
        <v>18462.394198486101</v>
      </c>
      <c r="F36" s="40">
        <f t="shared" si="5"/>
        <v>18456.5</v>
      </c>
      <c r="G36">
        <f t="shared" si="8"/>
        <v>1.5097400002268841</v>
      </c>
      <c r="K36">
        <f t="shared" si="9"/>
        <v>1.5097400002268841</v>
      </c>
      <c r="O36">
        <f t="shared" ca="1" si="10"/>
        <v>1.6101916441212722</v>
      </c>
      <c r="Q36" s="1">
        <f t="shared" si="11"/>
        <v>42761.763650000095</v>
      </c>
      <c r="R36">
        <f t="shared" ca="1" si="12"/>
        <v>1.0090532761084958E-2</v>
      </c>
    </row>
    <row r="37" spans="1:18" ht="12.95" customHeight="1" x14ac:dyDescent="0.2">
      <c r="A37" s="54" t="s">
        <v>58</v>
      </c>
      <c r="B37" s="55" t="s">
        <v>46</v>
      </c>
      <c r="C37" s="56">
        <v>57780.393000000156</v>
      </c>
      <c r="D37" s="56">
        <v>2.9999999999999997E-4</v>
      </c>
      <c r="E37">
        <f t="shared" si="7"/>
        <v>18462.89919575346</v>
      </c>
      <c r="F37" s="40">
        <f t="shared" si="5"/>
        <v>18457</v>
      </c>
      <c r="G37">
        <f t="shared" si="8"/>
        <v>1.5110200002891361</v>
      </c>
      <c r="K37">
        <f t="shared" si="9"/>
        <v>1.5110200002891361</v>
      </c>
      <c r="O37">
        <f t="shared" ca="1" si="10"/>
        <v>1.6102286715710428</v>
      </c>
      <c r="Q37" s="1">
        <f t="shared" si="11"/>
        <v>42761.893000000156</v>
      </c>
      <c r="R37">
        <f t="shared" ca="1" si="12"/>
        <v>9.842360457521418E-3</v>
      </c>
    </row>
    <row r="38" spans="1:18" ht="12.95" customHeight="1" x14ac:dyDescent="0.2">
      <c r="A38" s="54" t="s">
        <v>58</v>
      </c>
      <c r="B38" s="55" t="s">
        <v>53</v>
      </c>
      <c r="C38" s="56">
        <v>57783.338049999904</v>
      </c>
      <c r="D38" s="56">
        <v>5.9999999999999995E-4</v>
      </c>
      <c r="E38">
        <f t="shared" si="7"/>
        <v>18474.397009448108</v>
      </c>
      <c r="F38" s="40">
        <f t="shared" si="5"/>
        <v>18468.5</v>
      </c>
      <c r="G38">
        <f t="shared" si="8"/>
        <v>1.5104600000413484</v>
      </c>
      <c r="K38">
        <f t="shared" si="9"/>
        <v>1.5104600000413484</v>
      </c>
      <c r="O38">
        <f t="shared" ca="1" si="10"/>
        <v>1.611080302915765</v>
      </c>
      <c r="Q38" s="1">
        <f t="shared" si="11"/>
        <v>42764.838049999904</v>
      </c>
      <c r="R38">
        <f t="shared" ca="1" si="12"/>
        <v>1.0124445350539328E-2</v>
      </c>
    </row>
    <row r="39" spans="1:18" ht="12.95" customHeight="1" x14ac:dyDescent="0.2">
      <c r="A39" s="54" t="s">
        <v>58</v>
      </c>
      <c r="B39" s="55" t="s">
        <v>46</v>
      </c>
      <c r="C39" s="56">
        <v>57783.467209999915</v>
      </c>
      <c r="D39" s="56">
        <v>4.0000000000000002E-4</v>
      </c>
      <c r="E39">
        <f t="shared" si="7"/>
        <v>18474.901264933433</v>
      </c>
      <c r="F39" s="40">
        <f t="shared" si="5"/>
        <v>18469</v>
      </c>
      <c r="G39">
        <f t="shared" si="8"/>
        <v>1.5115500000465545</v>
      </c>
      <c r="K39">
        <f t="shared" si="9"/>
        <v>1.5115500000465545</v>
      </c>
      <c r="O39">
        <f t="shared" ca="1" si="10"/>
        <v>1.6111173303655355</v>
      </c>
      <c r="Q39" s="1">
        <f t="shared" si="11"/>
        <v>42764.967209999915</v>
      </c>
      <c r="R39">
        <f t="shared" ca="1" si="12"/>
        <v>9.9136532668490773E-3</v>
      </c>
    </row>
    <row r="40" spans="1:18" ht="12.95" customHeight="1" x14ac:dyDescent="0.2">
      <c r="A40" s="54" t="s">
        <v>58</v>
      </c>
      <c r="B40" s="55" t="s">
        <v>46</v>
      </c>
      <c r="C40" s="56">
        <v>57797.304690000135</v>
      </c>
      <c r="D40" s="56">
        <v>8.9999999999999998E-4</v>
      </c>
      <c r="E40">
        <f t="shared" si="7"/>
        <v>18528.924377294723</v>
      </c>
      <c r="F40" s="40">
        <f t="shared" si="5"/>
        <v>18523</v>
      </c>
      <c r="G40">
        <f t="shared" si="8"/>
        <v>1.5174700002680765</v>
      </c>
      <c r="K40">
        <f t="shared" si="9"/>
        <v>1.5174700002680765</v>
      </c>
      <c r="O40">
        <f t="shared" ca="1" si="10"/>
        <v>1.6151162949407531</v>
      </c>
      <c r="Q40" s="1">
        <f t="shared" si="11"/>
        <v>42778.804690000135</v>
      </c>
      <c r="R40">
        <f t="shared" ca="1" si="12"/>
        <v>9.5347988633031917E-3</v>
      </c>
    </row>
    <row r="41" spans="1:18" ht="12.95" customHeight="1" x14ac:dyDescent="0.2">
      <c r="A41" s="54" t="s">
        <v>58</v>
      </c>
      <c r="B41" s="55" t="s">
        <v>53</v>
      </c>
      <c r="C41" s="56">
        <v>57797.431789999828</v>
      </c>
      <c r="D41" s="56">
        <v>1.1000000000000001E-3</v>
      </c>
      <c r="E41">
        <f t="shared" si="7"/>
        <v>18529.42059030203</v>
      </c>
      <c r="F41" s="40">
        <f t="shared" si="5"/>
        <v>18523.5</v>
      </c>
      <c r="G41">
        <f t="shared" si="8"/>
        <v>1.5164999999615247</v>
      </c>
      <c r="K41">
        <f t="shared" si="9"/>
        <v>1.5164999999615247</v>
      </c>
      <c r="O41">
        <f t="shared" ca="1" si="10"/>
        <v>1.6151533223905237</v>
      </c>
      <c r="Q41" s="1">
        <f t="shared" si="11"/>
        <v>42778.931789999828</v>
      </c>
      <c r="R41">
        <f t="shared" ca="1" si="12"/>
        <v>9.7324780262800243E-3</v>
      </c>
    </row>
    <row r="42" spans="1:18" ht="12.95" customHeight="1" x14ac:dyDescent="0.2">
      <c r="A42" s="54" t="s">
        <v>58</v>
      </c>
      <c r="B42" s="55" t="s">
        <v>46</v>
      </c>
      <c r="C42" s="56">
        <v>57799.350589999929</v>
      </c>
      <c r="D42" s="56">
        <v>5.9999999999999995E-4</v>
      </c>
      <c r="E42">
        <f t="shared" si="7"/>
        <v>18536.91180604382</v>
      </c>
      <c r="F42" s="40">
        <f t="shared" si="5"/>
        <v>18531</v>
      </c>
      <c r="G42">
        <f t="shared" si="8"/>
        <v>1.5142500000656582</v>
      </c>
      <c r="K42">
        <f t="shared" si="9"/>
        <v>1.5142500000656582</v>
      </c>
      <c r="O42">
        <f t="shared" ca="1" si="10"/>
        <v>1.6157087341370817</v>
      </c>
      <c r="Q42" s="1">
        <f t="shared" si="11"/>
        <v>42780.850589999929</v>
      </c>
      <c r="R42">
        <f t="shared" ca="1" si="12"/>
        <v>1.0293874719375826E-2</v>
      </c>
    </row>
    <row r="43" spans="1:18" ht="12.95" customHeight="1" x14ac:dyDescent="0.2">
      <c r="A43" s="54" t="s">
        <v>58</v>
      </c>
      <c r="B43" s="55" t="s">
        <v>46</v>
      </c>
      <c r="C43" s="56">
        <v>57800.379060000181</v>
      </c>
      <c r="D43" s="56">
        <v>4.0000000000000002E-4</v>
      </c>
      <c r="E43">
        <f t="shared" si="7"/>
        <v>18540.927071134207</v>
      </c>
      <c r="F43" s="40">
        <f t="shared" si="5"/>
        <v>18535</v>
      </c>
      <c r="G43">
        <f t="shared" si="8"/>
        <v>1.5181600003124913</v>
      </c>
      <c r="K43">
        <f t="shared" si="9"/>
        <v>1.5181600003124913</v>
      </c>
      <c r="O43">
        <f t="shared" ca="1" si="10"/>
        <v>1.6160049537352459</v>
      </c>
      <c r="Q43" s="1">
        <f t="shared" si="11"/>
        <v>42781.879060000181</v>
      </c>
      <c r="R43">
        <f t="shared" ca="1" si="12"/>
        <v>9.5736349103010109E-3</v>
      </c>
    </row>
    <row r="44" spans="1:18" ht="12.95" customHeight="1" x14ac:dyDescent="0.2">
      <c r="C44" s="9"/>
      <c r="D44" s="9"/>
    </row>
    <row r="45" spans="1:18" ht="12.95" customHeight="1" x14ac:dyDescent="0.2">
      <c r="C45" s="9"/>
      <c r="D45" s="9"/>
    </row>
    <row r="46" spans="1:18" ht="12.95" customHeight="1" x14ac:dyDescent="0.2">
      <c r="C46" s="9"/>
      <c r="D46" s="9"/>
    </row>
    <row r="47" spans="1:18" ht="12.95" customHeight="1" x14ac:dyDescent="0.2">
      <c r="C47" s="9"/>
      <c r="D47" s="9"/>
    </row>
    <row r="48" spans="1:18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35:D43" name="Range1"/>
  </protectedRanges>
  <phoneticPr fontId="7" type="noConversion"/>
  <hyperlinks>
    <hyperlink ref="H274" r:id="rId1" display="http://vsolj.cetus-net.org/bulletin.html"/>
    <hyperlink ref="H267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R18" sqref="R18:R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49</v>
      </c>
    </row>
    <row r="2" spans="1:7" ht="12.75" customHeight="1" x14ac:dyDescent="0.2">
      <c r="A2" t="s">
        <v>26</v>
      </c>
      <c r="B2" s="29" t="s">
        <v>40</v>
      </c>
      <c r="C2" s="2"/>
      <c r="D2" s="2"/>
    </row>
    <row r="3" spans="1:7" ht="13.5" thickBot="1" x14ac:dyDescent="0.25"/>
    <row r="4" spans="1:7" ht="14.25" thickTop="1" thickBot="1" x14ac:dyDescent="0.25">
      <c r="A4" s="30" t="s">
        <v>41</v>
      </c>
      <c r="C4" s="7">
        <v>53051.305999999866</v>
      </c>
      <c r="D4" s="8">
        <v>0.25613999999999998</v>
      </c>
    </row>
    <row r="6" spans="1:7" x14ac:dyDescent="0.2">
      <c r="A6" s="4" t="s">
        <v>3</v>
      </c>
    </row>
    <row r="7" spans="1:7" x14ac:dyDescent="0.2">
      <c r="A7" t="s">
        <v>4</v>
      </c>
      <c r="C7">
        <f>+C4</f>
        <v>53051.305999999866</v>
      </c>
    </row>
    <row r="8" spans="1:7" x14ac:dyDescent="0.2">
      <c r="A8" t="s">
        <v>5</v>
      </c>
      <c r="C8">
        <v>0.25624999999999998</v>
      </c>
    </row>
    <row r="9" spans="1:7" x14ac:dyDescent="0.2">
      <c r="A9" s="10" t="s">
        <v>33</v>
      </c>
      <c r="B9" s="11"/>
      <c r="C9" s="12">
        <v>8</v>
      </c>
      <c r="D9" s="11" t="s">
        <v>34</v>
      </c>
      <c r="E9" s="11"/>
    </row>
    <row r="10" spans="1:7" ht="13.5" thickBot="1" x14ac:dyDescent="0.25">
      <c r="A10" s="11"/>
      <c r="B10" s="11"/>
      <c r="C10" s="3" t="s">
        <v>22</v>
      </c>
      <c r="D10" s="3" t="s">
        <v>23</v>
      </c>
      <c r="E10" s="11"/>
    </row>
    <row r="11" spans="1:7" x14ac:dyDescent="0.2">
      <c r="A11" s="11" t="s">
        <v>17</v>
      </c>
      <c r="B11" s="11"/>
      <c r="C11" s="23">
        <f ca="1">INTERCEPT(INDIRECT($G$11):G992,INDIRECT($F$11):F992)</f>
        <v>-5.8022291306120263E-4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18</v>
      </c>
      <c r="B12" s="11"/>
      <c r="C12" s="23">
        <f ca="1">SLOPE(INDIRECT($G$11):G992,INDIRECT($F$11):F992)</f>
        <v>-3.1609653975751932E-7</v>
      </c>
      <c r="D12" s="2"/>
      <c r="E12" s="11"/>
    </row>
    <row r="13" spans="1:7" x14ac:dyDescent="0.2">
      <c r="A13" s="11" t="s">
        <v>21</v>
      </c>
      <c r="B13" s="11"/>
      <c r="C13" s="2" t="s">
        <v>15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19</v>
      </c>
      <c r="B15" s="11"/>
      <c r="C15" s="14">
        <f ca="1">(C7+C11)+(C8+C12)*INT(MAX(F21:F3533))</f>
        <v>56643.669738419558</v>
      </c>
      <c r="D15" s="15" t="s">
        <v>35</v>
      </c>
      <c r="E15" s="16">
        <f ca="1">TODAY()+15018.5-B9/24</f>
        <v>60352.5</v>
      </c>
    </row>
    <row r="16" spans="1:7" x14ac:dyDescent="0.2">
      <c r="A16" s="17" t="s">
        <v>6</v>
      </c>
      <c r="B16" s="11"/>
      <c r="C16" s="18">
        <f ca="1">+C8+C12</f>
        <v>0.2562496839034602</v>
      </c>
      <c r="D16" s="15" t="s">
        <v>36</v>
      </c>
      <c r="E16" s="16">
        <f ca="1">ROUND(2*(E15-C15)/C16,0)/2+1</f>
        <v>14474.5</v>
      </c>
    </row>
    <row r="17" spans="1:18" ht="13.5" thickBot="1" x14ac:dyDescent="0.25">
      <c r="A17" s="15" t="s">
        <v>32</v>
      </c>
      <c r="B17" s="11"/>
      <c r="C17" s="11">
        <f>COUNT(C21:C2191)</f>
        <v>6</v>
      </c>
      <c r="D17" s="15" t="s">
        <v>37</v>
      </c>
      <c r="E17" s="19">
        <f ca="1">+C15+C16*E16-15018.5-C9/24</f>
        <v>45333.922454746855</v>
      </c>
    </row>
    <row r="18" spans="1:18" ht="14.25" thickTop="1" thickBot="1" x14ac:dyDescent="0.25">
      <c r="A18" s="17" t="s">
        <v>7</v>
      </c>
      <c r="B18" s="11"/>
      <c r="C18" s="20">
        <f ca="1">+C15</f>
        <v>56643.669738419558</v>
      </c>
      <c r="D18" s="21">
        <f ca="1">+C16</f>
        <v>0.2562496839034602</v>
      </c>
      <c r="E18" s="22" t="s">
        <v>38</v>
      </c>
      <c r="R18">
        <f ca="1">SQRT(SUM(R21:R26))</f>
        <v>6.4240499007214048E-3</v>
      </c>
    </row>
    <row r="19" spans="1:18" ht="13.5" thickTop="1" x14ac:dyDescent="0.2">
      <c r="A19" s="26" t="s">
        <v>39</v>
      </c>
      <c r="E19" s="27">
        <v>21</v>
      </c>
      <c r="F19">
        <v>3</v>
      </c>
    </row>
    <row r="20" spans="1:18" ht="1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31</v>
      </c>
      <c r="I20" s="6" t="s">
        <v>44</v>
      </c>
      <c r="J20" s="6" t="s">
        <v>20</v>
      </c>
      <c r="K20" s="6" t="s">
        <v>27</v>
      </c>
      <c r="L20" s="6" t="s">
        <v>28</v>
      </c>
      <c r="M20" s="6" t="s">
        <v>29</v>
      </c>
      <c r="N20" s="6" t="s">
        <v>30</v>
      </c>
      <c r="O20" s="6" t="s">
        <v>25</v>
      </c>
      <c r="P20" s="5" t="s">
        <v>24</v>
      </c>
      <c r="Q20" s="3" t="s">
        <v>16</v>
      </c>
      <c r="R20" s="41" t="s">
        <v>50</v>
      </c>
    </row>
    <row r="21" spans="1:18" x14ac:dyDescent="0.2">
      <c r="A21" s="31" t="s">
        <v>42</v>
      </c>
      <c r="C21" s="9">
        <v>53051.305999999866</v>
      </c>
      <c r="D21" s="9" t="s">
        <v>15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-5.8022291306120263E-4</v>
      </c>
      <c r="Q21" s="1">
        <f t="shared" ref="Q21:Q26" si="4">+C21-15018.5</f>
        <v>38032.805999999866</v>
      </c>
      <c r="R21">
        <f t="shared" ref="R21:R26" ca="1" si="5">+(G21-O21)^2</f>
        <v>3.3665862884122791E-7</v>
      </c>
    </row>
    <row r="22" spans="1:18" x14ac:dyDescent="0.2">
      <c r="A22" s="34" t="s">
        <v>45</v>
      </c>
      <c r="B22" s="33" t="s">
        <v>46</v>
      </c>
      <c r="C22" s="35">
        <v>54811.863899999997</v>
      </c>
      <c r="D22" s="34">
        <v>1.2999999999999999E-3</v>
      </c>
      <c r="E22">
        <f t="shared" si="0"/>
        <v>6870.4698536590477</v>
      </c>
      <c r="F22">
        <f t="shared" si="1"/>
        <v>6870.5</v>
      </c>
      <c r="G22">
        <f t="shared" si="2"/>
        <v>-7.7249998721526936E-3</v>
      </c>
      <c r="H22">
        <f>+G22</f>
        <v>-7.7249998721526936E-3</v>
      </c>
      <c r="O22">
        <f t="shared" ca="1" si="3"/>
        <v>-2.751964189465239E-3</v>
      </c>
      <c r="Q22" s="1">
        <f t="shared" si="4"/>
        <v>39793.363899999997</v>
      </c>
      <c r="R22">
        <f t="shared" ca="1" si="5"/>
        <v>2.4731083901282671E-5</v>
      </c>
    </row>
    <row r="23" spans="1:18" x14ac:dyDescent="0.2">
      <c r="A23" s="4" t="s">
        <v>47</v>
      </c>
      <c r="C23" s="9">
        <v>54857.741499999996</v>
      </c>
      <c r="D23" s="9">
        <v>4.0000000000000002E-4</v>
      </c>
      <c r="E23">
        <f t="shared" si="0"/>
        <v>7049.5043902444122</v>
      </c>
      <c r="F23">
        <f t="shared" si="1"/>
        <v>7049.5</v>
      </c>
      <c r="G23">
        <f t="shared" si="2"/>
        <v>1.1250001334701665E-3</v>
      </c>
      <c r="I23">
        <f>+G23</f>
        <v>1.1250001334701665E-3</v>
      </c>
      <c r="O23">
        <f t="shared" ca="1" si="3"/>
        <v>-2.808545470081835E-3</v>
      </c>
      <c r="Q23" s="1">
        <f t="shared" si="4"/>
        <v>39839.241499999996</v>
      </c>
      <c r="R23">
        <f t="shared" ca="1" si="5"/>
        <v>1.5472781015223283E-5</v>
      </c>
    </row>
    <row r="24" spans="1:18" x14ac:dyDescent="0.2">
      <c r="A24" s="36" t="s">
        <v>48</v>
      </c>
      <c r="B24" s="37" t="s">
        <v>53</v>
      </c>
      <c r="C24" s="38">
        <v>56643.414299999997</v>
      </c>
      <c r="D24" s="39">
        <v>1.1000000000000001E-3</v>
      </c>
      <c r="E24">
        <f t="shared" si="0"/>
        <v>14017.983609756609</v>
      </c>
      <c r="F24">
        <f t="shared" si="1"/>
        <v>14018</v>
      </c>
      <c r="G24">
        <f t="shared" si="2"/>
        <v>-4.1999998720712028E-3</v>
      </c>
      <c r="H24">
        <f>+G24</f>
        <v>-4.1999998720712028E-3</v>
      </c>
      <c r="O24">
        <f t="shared" ca="1" si="3"/>
        <v>-5.0112642073821077E-3</v>
      </c>
      <c r="Q24" s="1">
        <f t="shared" si="4"/>
        <v>41624.914299999997</v>
      </c>
      <c r="R24">
        <f t="shared" ca="1" si="5"/>
        <v>6.581498217474442E-7</v>
      </c>
    </row>
    <row r="25" spans="1:18" x14ac:dyDescent="0.2">
      <c r="A25" s="36" t="s">
        <v>48</v>
      </c>
      <c r="B25" s="37" t="s">
        <v>53</v>
      </c>
      <c r="C25" s="38">
        <v>56643.541499999999</v>
      </c>
      <c r="D25" s="39">
        <v>2.2000000000000001E-3</v>
      </c>
      <c r="E25">
        <f t="shared" si="0"/>
        <v>14018.480000000522</v>
      </c>
      <c r="F25">
        <f t="shared" si="1"/>
        <v>14018.5</v>
      </c>
      <c r="G25">
        <f t="shared" si="2"/>
        <v>-5.124999865074642E-3</v>
      </c>
      <c r="H25">
        <f>+G25</f>
        <v>-5.124999865074642E-3</v>
      </c>
      <c r="O25">
        <f t="shared" ca="1" si="3"/>
        <v>-5.0114222556519872E-3</v>
      </c>
      <c r="Q25" s="1">
        <f t="shared" si="4"/>
        <v>41625.041499999999</v>
      </c>
      <c r="R25">
        <f t="shared" ca="1" si="5"/>
        <v>1.289987336216513E-8</v>
      </c>
    </row>
    <row r="26" spans="1:18" x14ac:dyDescent="0.2">
      <c r="A26" s="36" t="s">
        <v>48</v>
      </c>
      <c r="B26" s="37" t="s">
        <v>53</v>
      </c>
      <c r="C26" s="38">
        <v>56643.669500000004</v>
      </c>
      <c r="D26" s="39">
        <v>2.0999999999999999E-3</v>
      </c>
      <c r="E26">
        <f t="shared" si="0"/>
        <v>14018.979512195661</v>
      </c>
      <c r="F26">
        <f t="shared" si="1"/>
        <v>14019</v>
      </c>
      <c r="G26">
        <f t="shared" si="2"/>
        <v>-5.2499998637358658E-3</v>
      </c>
      <c r="H26">
        <f>+G26</f>
        <v>-5.2499998637358658E-3</v>
      </c>
      <c r="O26">
        <f t="shared" ca="1" si="3"/>
        <v>-5.0115803039218667E-3</v>
      </c>
      <c r="Q26" s="1">
        <f t="shared" si="4"/>
        <v>41625.169500000004</v>
      </c>
      <c r="R26">
        <f t="shared" ca="1" si="5"/>
        <v>5.68438865019011E-8</v>
      </c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2024-02-12T03:32:35Z</dcterms:modified>
</cp:coreProperties>
</file>