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F238CB5C-61F6-4E33-978C-380394311D5A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26" i="1" l="1"/>
  <c r="E26" i="1"/>
  <c r="F25" i="1"/>
  <c r="G25" i="1"/>
  <c r="J25" i="1"/>
  <c r="E24" i="1"/>
  <c r="F24" i="1"/>
  <c r="G24" i="1"/>
  <c r="J24" i="1"/>
  <c r="Q24" i="1"/>
  <c r="E25" i="1"/>
  <c r="Q25" i="1"/>
  <c r="G26" i="1"/>
  <c r="J26" i="1"/>
  <c r="Q26" i="1"/>
  <c r="E22" i="1"/>
  <c r="F22" i="1"/>
  <c r="G22" i="1"/>
  <c r="I22" i="1"/>
  <c r="E23" i="1"/>
  <c r="F23" i="1"/>
  <c r="G23" i="1"/>
  <c r="I23" i="1"/>
  <c r="G11" i="1"/>
  <c r="F11" i="1"/>
  <c r="Q22" i="1"/>
  <c r="Q23" i="1"/>
  <c r="C21" i="1"/>
  <c r="E21" i="1"/>
  <c r="F21" i="1"/>
  <c r="G21" i="1"/>
  <c r="H21" i="1"/>
  <c r="A21" i="1"/>
  <c r="H20" i="1"/>
  <c r="E14" i="1"/>
  <c r="C17" i="1"/>
  <c r="Q21" i="1"/>
  <c r="C12" i="1"/>
  <c r="C11" i="1"/>
  <c r="O26" i="1" l="1"/>
  <c r="S26" i="1" s="1"/>
  <c r="O21" i="1"/>
  <c r="S21" i="1" s="1"/>
  <c r="O24" i="1"/>
  <c r="S24" i="1" s="1"/>
  <c r="C15" i="1"/>
  <c r="O22" i="1"/>
  <c r="S22" i="1" s="1"/>
  <c r="O23" i="1"/>
  <c r="S23" i="1" s="1"/>
  <c r="O25" i="1"/>
  <c r="S25" i="1" s="1"/>
  <c r="C16" i="1"/>
  <c r="D18" i="1" s="1"/>
  <c r="E15" i="1"/>
  <c r="C18" i="1" l="1"/>
  <c r="S19" i="1"/>
  <c r="E16" i="1"/>
  <c r="E17" i="1" s="1"/>
</calcChain>
</file>

<file path=xl/sharedStrings.xml><?xml version="1.0" encoding="utf-8"?>
<sst xmlns="http://schemas.openxmlformats.org/spreadsheetml/2006/main" count="63" uniqueCount="56">
  <si>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</si>
  <si>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</si>
  <si>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</si>
  <si>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</si>
  <si>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</si>
  <si>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</si>
  <si>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</si>
  <si>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</si>
  <si>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</si>
  <si>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</si>
  <si>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</si>
  <si>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</si>
  <si>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</si>
  <si>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</si>
  <si>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</si>
  <si>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</si>
  <si>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</si>
  <si>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</si>
  <si>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</si>
  <si>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</si>
  <si>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</si>
  <si>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</si>
  <si>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</si>
  <si>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</si>
  <si>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</si>
  <si>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</si>
  <si>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</si>
  <si>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</si>
  <si>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</si>
  <si>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</si>
  <si>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</si>
  <si>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</si>
  <si>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</si>
  <si>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</si>
  <si>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</si>
  <si>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</si>
  <si>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</si>
  <si>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</si>
  <si>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</si>
  <si>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</si>
  <si>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</si>
  <si>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</si>
  <si>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G0774-0058</t>
  </si>
  <si>
    <t>G0774-0058_Gem.xls</t>
  </si>
  <si>
    <t>ECESD</t>
  </si>
  <si>
    <t>Gem</t>
  </si>
  <si>
    <t>VSX</t>
  </si>
  <si>
    <t>IBVS 5945</t>
  </si>
  <si>
    <t>IBVS 6029</t>
  </si>
  <si>
    <t>II</t>
  </si>
  <si>
    <t>OEJV 0211</t>
  </si>
  <si>
    <t>I</t>
  </si>
  <si>
    <t>VSB 067</t>
  </si>
  <si>
    <t>V</t>
  </si>
  <si>
    <t>V0456 Gem / GSC 0774-0058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</si>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</sst>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0"/>
    <xf numFmtId="0" fontId="17" fillId="0" borderId="1" applyNumberFormat="0" applyFont="0" applyFill="0" applyAlignment="0" applyProtection="0"/>
  </cellStyleXfs>
  <cellXfs count="4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6" fillId="0" borderId="0" xfId="7" applyFont="1"/>
    <xf numFmtId="0" fontId="16" fillId="0" borderId="0" xfId="7" applyFont="1" applyAlignment="1">
      <alignment horizontal="center"/>
    </xf>
    <xf numFmtId="0" fontId="16" fillId="0" borderId="0" xfId="7" applyFont="1" applyAlignment="1">
      <alignment horizontal="left"/>
    </xf>
    <xf numFmtId="0" fontId="16" fillId="0" borderId="0" xfId="0" applyFont="1" applyAlignment="1"/>
    <xf numFmtId="0" fontId="18" fillId="3" borderId="0" xfId="0" applyFont="1" applyFill="1" applyAlignment="1"/>
    <xf numFmtId="0" fontId="0" fillId="0" borderId="0" xfId="0" applyAlignment="1">
      <alignment horizontal="righ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Normal_A" xfId="7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V0456</a:t>
            </a:r>
            <a:r>
              <a:rPr lang="en-AU" baseline="0"/>
              <a:t> Gem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4733353950091583"/>
          <c:y val="4.142147920659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1062556002252"/>
          <c:y val="0.14148320902702413"/>
          <c:w val="0.8231692715147767"/>
          <c:h val="0.6371930634770360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1232.5</c:v>
                </c:pt>
                <c:pt idx="2">
                  <c:v>3081.5</c:v>
                </c:pt>
                <c:pt idx="3">
                  <c:v>8801</c:v>
                </c:pt>
                <c:pt idx="4">
                  <c:v>9776</c:v>
                </c:pt>
                <c:pt idx="5">
                  <c:v>9775.5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E9-4048-9DDC-2F72B859431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1232.5</c:v>
                </c:pt>
                <c:pt idx="2">
                  <c:v>3081.5</c:v>
                </c:pt>
                <c:pt idx="3">
                  <c:v>8801</c:v>
                </c:pt>
                <c:pt idx="4">
                  <c:v>9776</c:v>
                </c:pt>
                <c:pt idx="5">
                  <c:v>9775.5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3.0454999832727481E-2</c:v>
                </c:pt>
                <c:pt idx="2">
                  <c:v>4.7220999833371025E-2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2E9-4048-9DDC-2F72B859431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1232.5</c:v>
                </c:pt>
                <c:pt idx="2">
                  <c:v>3081.5</c:v>
                </c:pt>
                <c:pt idx="3">
                  <c:v>8801</c:v>
                </c:pt>
                <c:pt idx="4">
                  <c:v>9776</c:v>
                </c:pt>
                <c:pt idx="5">
                  <c:v>9775.5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3">
                  <c:v>9.0983999813033734E-2</c:v>
                </c:pt>
                <c:pt idx="4">
                  <c:v>9.5383999832847621E-2</c:v>
                </c:pt>
                <c:pt idx="5">
                  <c:v>9.6416999833309092E-2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2E9-4048-9DDC-2F72B859431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1232.5</c:v>
                </c:pt>
                <c:pt idx="2">
                  <c:v>3081.5</c:v>
                </c:pt>
                <c:pt idx="3">
                  <c:v>8801</c:v>
                </c:pt>
                <c:pt idx="4">
                  <c:v>9776</c:v>
                </c:pt>
                <c:pt idx="5">
                  <c:v>9775.5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2E9-4048-9DDC-2F72B859431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1232.5</c:v>
                </c:pt>
                <c:pt idx="2">
                  <c:v>3081.5</c:v>
                </c:pt>
                <c:pt idx="3">
                  <c:v>8801</c:v>
                </c:pt>
                <c:pt idx="4">
                  <c:v>9776</c:v>
                </c:pt>
                <c:pt idx="5">
                  <c:v>9775.5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2E9-4048-9DDC-2F72B859431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1232.5</c:v>
                </c:pt>
                <c:pt idx="2">
                  <c:v>3081.5</c:v>
                </c:pt>
                <c:pt idx="3">
                  <c:v>8801</c:v>
                </c:pt>
                <c:pt idx="4">
                  <c:v>9776</c:v>
                </c:pt>
                <c:pt idx="5">
                  <c:v>9775.5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2E9-4048-9DDC-2F72B859431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1232.5</c:v>
                </c:pt>
                <c:pt idx="2">
                  <c:v>3081.5</c:v>
                </c:pt>
                <c:pt idx="3">
                  <c:v>8801</c:v>
                </c:pt>
                <c:pt idx="4">
                  <c:v>9776</c:v>
                </c:pt>
                <c:pt idx="5">
                  <c:v>9775.5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2E9-4048-9DDC-2F72B859431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1232.5</c:v>
                </c:pt>
                <c:pt idx="2">
                  <c:v>3081.5</c:v>
                </c:pt>
                <c:pt idx="3">
                  <c:v>8801</c:v>
                </c:pt>
                <c:pt idx="4">
                  <c:v>9776</c:v>
                </c:pt>
                <c:pt idx="5">
                  <c:v>9775.5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2.2359507276783458E-2</c:v>
                </c:pt>
                <c:pt idx="1">
                  <c:v>3.1741526098922057E-2</c:v>
                </c:pt>
                <c:pt idx="2">
                  <c:v>4.5816457378544187E-2</c:v>
                </c:pt>
                <c:pt idx="3">
                  <c:v>8.9354353243227116E-2</c:v>
                </c:pt>
                <c:pt idx="4">
                  <c:v>9.6776234258712013E-2</c:v>
                </c:pt>
                <c:pt idx="5">
                  <c:v>9.6772428165883564E-2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2E9-4048-9DDC-2F72B859431F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1232.5</c:v>
                </c:pt>
                <c:pt idx="2">
                  <c:v>3081.5</c:v>
                </c:pt>
                <c:pt idx="3">
                  <c:v>8801</c:v>
                </c:pt>
                <c:pt idx="4">
                  <c:v>9776</c:v>
                </c:pt>
                <c:pt idx="5">
                  <c:v>9775.5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2E9-4048-9DDC-2F72B8594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1945600"/>
        <c:axId val="1"/>
      </c:scatterChart>
      <c:valAx>
        <c:axId val="3919456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89821665041113"/>
              <c:y val="0.910447117863932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8617804949607882E-2"/>
              <c:y val="0.3165782283079717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19456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299093655589124"/>
          <c:y val="0.81231671554252194"/>
          <c:w val="0.73262839879154074"/>
          <c:h val="0.1524926686217008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A4A0ED24-1D38-C149-EEFF-B534F021A0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11" sqref="E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8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54</v>
      </c>
      <c r="E1" t="s">
        <v>43</v>
      </c>
    </row>
    <row r="2" spans="1:7" x14ac:dyDescent="0.2">
      <c r="A2" t="s">
        <v>23</v>
      </c>
      <c r="B2" t="s">
        <v>44</v>
      </c>
      <c r="C2" s="31" t="s">
        <v>41</v>
      </c>
      <c r="D2" s="3" t="s">
        <v>45</v>
      </c>
      <c r="E2" s="32" t="s">
        <v>42</v>
      </c>
      <c r="F2" t="e">
        <v>#N/A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42">
        <v>54798.805000000168</v>
      </c>
      <c r="D7" s="30" t="s">
        <v>46</v>
      </c>
    </row>
    <row r="8" spans="1:7" x14ac:dyDescent="0.2">
      <c r="A8" t="s">
        <v>3</v>
      </c>
      <c r="C8" s="42">
        <v>0.38126599999999999</v>
      </c>
      <c r="D8" s="30" t="s">
        <v>46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2.2359507276783458E-2</v>
      </c>
      <c r="D11" s="3"/>
      <c r="E11" s="10"/>
      <c r="F11" s="23" t="str">
        <f>"F"&amp;E19</f>
        <v>F22</v>
      </c>
      <c r="G11" s="24" t="str">
        <f>"G"&amp;E19</f>
        <v>G22</v>
      </c>
    </row>
    <row r="12" spans="1:7" x14ac:dyDescent="0.2">
      <c r="A12" s="10" t="s">
        <v>16</v>
      </c>
      <c r="B12" s="10"/>
      <c r="C12" s="22">
        <f ca="1">SLOPE(INDIRECT($G$11):G992,INDIRECT($F$11):F992)</f>
        <v>7.6121856569075858E-6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60352.707717013887</v>
      </c>
    </row>
    <row r="15" spans="1:7" x14ac:dyDescent="0.2">
      <c r="A15" s="12" t="s">
        <v>17</v>
      </c>
      <c r="B15" s="10"/>
      <c r="C15" s="13">
        <f ca="1">(C7+C11)+(C8+C12)*INT(MAX(F21:F3533))</f>
        <v>58526.158192234427</v>
      </c>
      <c r="D15" s="14" t="s">
        <v>38</v>
      </c>
      <c r="E15" s="15">
        <f ca="1">ROUND(2*(E14-$C$7)/$C$8,0)/2+E13</f>
        <v>14568</v>
      </c>
    </row>
    <row r="16" spans="1:7" x14ac:dyDescent="0.2">
      <c r="A16" s="16" t="s">
        <v>4</v>
      </c>
      <c r="B16" s="10"/>
      <c r="C16" s="17">
        <f ca="1">+C8+C12</f>
        <v>0.38127361218565692</v>
      </c>
      <c r="D16" s="14" t="s">
        <v>39</v>
      </c>
      <c r="E16" s="24">
        <f ca="1">ROUND(2*(E14-$C$15)/$C$16,0)/2+E13</f>
        <v>4791.5</v>
      </c>
    </row>
    <row r="17" spans="1:19" ht="13.5" thickBot="1" x14ac:dyDescent="0.25">
      <c r="A17" s="14" t="s">
        <v>29</v>
      </c>
      <c r="B17" s="10"/>
      <c r="C17" s="10">
        <f>COUNT(C21:C2191)</f>
        <v>6</v>
      </c>
      <c r="D17" s="14" t="s">
        <v>33</v>
      </c>
      <c r="E17" s="18">
        <f ca="1">+$C$15+$C$16*E16-15018.5-$C$9/24</f>
        <v>45334.926538355336</v>
      </c>
    </row>
    <row r="18" spans="1:19" ht="14.25" thickTop="1" thickBot="1" x14ac:dyDescent="0.25">
      <c r="A18" s="16" t="s">
        <v>5</v>
      </c>
      <c r="B18" s="10"/>
      <c r="C18" s="19">
        <f ca="1">+C15</f>
        <v>58526.158192234427</v>
      </c>
      <c r="D18" s="20">
        <f ca="1">+C16</f>
        <v>0.38127361218565692</v>
      </c>
      <c r="E18" s="21" t="s">
        <v>34</v>
      </c>
    </row>
    <row r="19" spans="1:19" ht="13.5" thickTop="1" x14ac:dyDescent="0.2">
      <c r="A19" s="25" t="s">
        <v>35</v>
      </c>
      <c r="E19" s="26">
        <v>22</v>
      </c>
      <c r="S19">
        <f ca="1">SQRT(SUM(S21:S50)/(COUNT(S21:S50)-1))</f>
        <v>1.0082617209238809E-2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28</v>
      </c>
      <c r="J20" s="7" t="s">
        <v>55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</row>
    <row r="21" spans="1:19" x14ac:dyDescent="0.2">
      <c r="A21" t="str">
        <f>D7</f>
        <v>VSX</v>
      </c>
      <c r="C21" s="8">
        <f>C$7</f>
        <v>54798.805000000168</v>
      </c>
      <c r="D21" s="8" t="s">
        <v>13</v>
      </c>
      <c r="E21">
        <f t="shared" ref="E21:E26" si="0">+(C21-C$7)/C$8</f>
        <v>0</v>
      </c>
      <c r="F21">
        <f>ROUND(2*E21,0)/2</f>
        <v>0</v>
      </c>
      <c r="G21">
        <f t="shared" ref="G21:G26" si="1">+C21-(C$7+F21*C$8)</f>
        <v>0</v>
      </c>
      <c r="H21">
        <f>+G21</f>
        <v>0</v>
      </c>
      <c r="O21">
        <f t="shared" ref="O21:O26" ca="1" si="2">+C$11+C$12*$F21</f>
        <v>2.2359507276783458E-2</v>
      </c>
      <c r="Q21" s="2">
        <f t="shared" ref="Q21:Q26" si="3">+C21-15018.5</f>
        <v>39780.305000000168</v>
      </c>
      <c r="S21">
        <f t="shared" ref="S21:S26" ca="1" si="4">+(O21-G21)^2</f>
        <v>4.9994756566053246E-4</v>
      </c>
    </row>
    <row r="22" spans="1:19" x14ac:dyDescent="0.2">
      <c r="A22" s="33" t="s">
        <v>47</v>
      </c>
      <c r="B22" s="34">
        <v>0</v>
      </c>
      <c r="C22" s="33">
        <v>55268.745799999997</v>
      </c>
      <c r="D22" s="33">
        <v>2.9999999999999997E-4</v>
      </c>
      <c r="E22">
        <f t="shared" si="0"/>
        <v>1232.5798786144826</v>
      </c>
      <c r="F22">
        <f>ROUND(2*E22,0)/2</f>
        <v>1232.5</v>
      </c>
      <c r="G22">
        <f t="shared" si="1"/>
        <v>3.0454999832727481E-2</v>
      </c>
      <c r="I22">
        <f>+G22</f>
        <v>3.0454999832727481E-2</v>
      </c>
      <c r="O22">
        <f t="shared" ca="1" si="2"/>
        <v>3.1741526098922057E-2</v>
      </c>
      <c r="Q22" s="2">
        <f t="shared" si="3"/>
        <v>40250.245799999997</v>
      </c>
      <c r="S22">
        <f t="shared" ca="1" si="4"/>
        <v>1.6551498336085581E-6</v>
      </c>
    </row>
    <row r="23" spans="1:19" x14ac:dyDescent="0.2">
      <c r="A23" s="35" t="s">
        <v>48</v>
      </c>
      <c r="B23" s="36" t="s">
        <v>49</v>
      </c>
      <c r="C23" s="35">
        <v>55973.723400000003</v>
      </c>
      <c r="D23" s="35">
        <v>8.0000000000000004E-4</v>
      </c>
      <c r="E23">
        <f t="shared" si="0"/>
        <v>3081.6238531624508</v>
      </c>
      <c r="F23">
        <f>ROUND(2*E23,0)/2</f>
        <v>3081.5</v>
      </c>
      <c r="G23">
        <f t="shared" si="1"/>
        <v>4.7220999833371025E-2</v>
      </c>
      <c r="I23">
        <f>+G23</f>
        <v>4.7220999833371025E-2</v>
      </c>
      <c r="O23">
        <f t="shared" ca="1" si="2"/>
        <v>4.5816457378544187E-2</v>
      </c>
      <c r="Q23" s="2">
        <f t="shared" si="3"/>
        <v>40955.223400000003</v>
      </c>
      <c r="S23">
        <f t="shared" ca="1" si="4"/>
        <v>1.9727395074109991E-6</v>
      </c>
    </row>
    <row r="24" spans="1:19" x14ac:dyDescent="0.2">
      <c r="A24" s="37" t="s">
        <v>50</v>
      </c>
      <c r="B24" s="38" t="s">
        <v>51</v>
      </c>
      <c r="C24" s="39">
        <v>58154.418049999978</v>
      </c>
      <c r="D24" s="39">
        <v>6.9999999999999999E-4</v>
      </c>
      <c r="E24">
        <f t="shared" si="0"/>
        <v>8801.2386365419698</v>
      </c>
      <c r="F24">
        <f>ROUND(2*E24,0)/2</f>
        <v>8801</v>
      </c>
      <c r="G24">
        <f t="shared" si="1"/>
        <v>9.0983999813033734E-2</v>
      </c>
      <c r="J24">
        <f>+G24</f>
        <v>9.0983999813033734E-2</v>
      </c>
      <c r="O24">
        <f t="shared" ca="1" si="2"/>
        <v>8.9354353243227116E-2</v>
      </c>
      <c r="Q24" s="2">
        <f t="shared" si="3"/>
        <v>43135.918049999978</v>
      </c>
      <c r="S24">
        <f t="shared" ca="1" si="4"/>
        <v>2.6557479424824732E-6</v>
      </c>
    </row>
    <row r="25" spans="1:19" x14ac:dyDescent="0.2">
      <c r="A25" s="40" t="s">
        <v>52</v>
      </c>
      <c r="B25" s="36" t="s">
        <v>49</v>
      </c>
      <c r="C25" s="35">
        <v>58526.156799999997</v>
      </c>
      <c r="D25" s="35" t="s">
        <v>53</v>
      </c>
      <c r="E25">
        <f t="shared" si="0"/>
        <v>9776.2501770413037</v>
      </c>
      <c r="F25" s="41">
        <f>ROUND(2*E25,0)/2-0.5</f>
        <v>9776</v>
      </c>
      <c r="G25">
        <f t="shared" si="1"/>
        <v>9.5383999832847621E-2</v>
      </c>
      <c r="J25">
        <f>+G25</f>
        <v>9.5383999832847621E-2</v>
      </c>
      <c r="O25">
        <f t="shared" ca="1" si="2"/>
        <v>9.6776234258712013E-2</v>
      </c>
      <c r="Q25" s="2">
        <f t="shared" si="3"/>
        <v>43507.656799999997</v>
      </c>
      <c r="S25">
        <f t="shared" ca="1" si="4"/>
        <v>1.9383166965619519E-6</v>
      </c>
    </row>
    <row r="26" spans="1:19" x14ac:dyDescent="0.2">
      <c r="A26" s="40" t="s">
        <v>52</v>
      </c>
      <c r="B26" s="36" t="s">
        <v>51</v>
      </c>
      <c r="C26" s="35">
        <v>58525.967199999999</v>
      </c>
      <c r="D26" s="35" t="s">
        <v>53</v>
      </c>
      <c r="E26">
        <f t="shared" si="0"/>
        <v>9775.7528864357992</v>
      </c>
      <c r="F26" s="41">
        <f>ROUND(2*E26,0)/2-0.5</f>
        <v>9775.5</v>
      </c>
      <c r="G26">
        <f t="shared" si="1"/>
        <v>9.6416999833309092E-2</v>
      </c>
      <c r="J26">
        <f>+G26</f>
        <v>9.6416999833309092E-2</v>
      </c>
      <c r="O26">
        <f t="shared" ca="1" si="2"/>
        <v>9.6772428165883564E-2</v>
      </c>
      <c r="Q26" s="2">
        <f t="shared" si="3"/>
        <v>43507.467199999999</v>
      </c>
      <c r="S26">
        <f t="shared" ca="1" si="4"/>
        <v>1.2632929959667006E-7</v>
      </c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rotectedRanges>
    <protectedRange sqref="A24:D26" name="Range1"/>
  </protectedRanges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2024-02-12T03:59:06Z</dcterms:modified>
</cp:coreProperties>
</file>