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0326763-4B03-4996-86B1-F652AA47A9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J36" i="1" s="1"/>
  <c r="Q36" i="1"/>
  <c r="F14" i="1"/>
  <c r="C37" i="1"/>
  <c r="E37" i="1" s="1"/>
  <c r="F37" i="1" s="1"/>
  <c r="G37" i="1" s="1"/>
  <c r="I37" i="1" s="1"/>
  <c r="A37" i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F25" i="1" s="1"/>
  <c r="G25" i="1" s="1"/>
  <c r="H25" i="1" s="1"/>
  <c r="E26" i="1"/>
  <c r="F26" i="1" s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 s="1"/>
  <c r="G29" i="1" s="1"/>
  <c r="H29" i="1" s="1"/>
  <c r="E30" i="1"/>
  <c r="F30" i="1" s="1"/>
  <c r="G30" i="1" s="1"/>
  <c r="H30" i="1" s="1"/>
  <c r="E31" i="1"/>
  <c r="F31" i="1" s="1"/>
  <c r="G31" i="1" s="1"/>
  <c r="H31" i="1" s="1"/>
  <c r="E32" i="1"/>
  <c r="F32" i="1" s="1"/>
  <c r="G32" i="1" s="1"/>
  <c r="H32" i="1" s="1"/>
  <c r="E33" i="1"/>
  <c r="F33" i="1" s="1"/>
  <c r="G33" i="1" s="1"/>
  <c r="H33" i="1" s="1"/>
  <c r="E34" i="1"/>
  <c r="F34" i="1"/>
  <c r="G34" i="1" s="1"/>
  <c r="H34" i="1" s="1"/>
  <c r="E35" i="1"/>
  <c r="F35" i="1" s="1"/>
  <c r="G35" i="1" s="1"/>
  <c r="H35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G11" i="1"/>
  <c r="F11" i="1"/>
  <c r="C12" i="1"/>
  <c r="C11" i="1"/>
  <c r="O36" i="1" l="1"/>
  <c r="F15" i="1"/>
  <c r="Q37" i="1"/>
  <c r="C17" i="1"/>
  <c r="C16" i="1"/>
  <c r="D18" i="1" s="1"/>
  <c r="O35" i="1"/>
  <c r="O21" i="1"/>
  <c r="O27" i="1"/>
  <c r="O31" i="1"/>
  <c r="O37" i="1"/>
  <c r="O29" i="1"/>
  <c r="O23" i="1"/>
  <c r="O34" i="1"/>
  <c r="O26" i="1"/>
  <c r="O28" i="1"/>
  <c r="O22" i="1"/>
  <c r="O33" i="1"/>
  <c r="O25" i="1"/>
  <c r="C15" i="1"/>
  <c r="O32" i="1"/>
  <c r="O30" i="1"/>
  <c r="O2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<sst xmlns="http://schemas.openxmlformats.org/spreadsheetml/2006/main" count="82" uniqueCount="52">
  <si>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</si>
  <si>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</si>
  <si>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</si>
  <si>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</si>
  <si>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</si>
  <si>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</si>
  <si>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</si>
  <si>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</si>
  <si>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</si>
  <si>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</si>
  <si>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</si>
  <si>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</si>
  <si>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</si>
  <si>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</si>
  <si>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</si>
  <si>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</si>
  <si>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</si>
  <si>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</si>
  <si>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</si>
  <si>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</si>
  <si>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</si>
  <si>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</si>
  <si>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</si>
  <si>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</si>
  <si>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</si>
  <si>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</si>
  <si>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</si>
  <si>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</si>
  <si>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</si>
  <si>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</si>
  <si>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</si>
  <si>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</si>
  <si>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</si>
  <si>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</si>
  <si>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BAD</t>
  </si>
  <si>
    <t>Add cycle</t>
  </si>
  <si>
    <t>Old Cycle</t>
  </si>
  <si>
    <t>W Gru</t>
  </si>
  <si>
    <t>W Gru / GSC 8010-1452</t>
  </si>
  <si>
    <t>EA/AR</t>
  </si>
  <si>
    <t>IBVS 2012</t>
  </si>
  <si>
    <t>I</t>
  </si>
  <si>
    <t>II</t>
  </si>
  <si>
    <t>G8010-1452</t>
  </si>
  <si>
    <t>CCD</t>
  </si>
  <si>
    <t>VSX</t>
  </si>
  <si>
    <t xml:space="preserve">Mag </t>
  </si>
  <si>
    <t>Next ToM-P</t>
  </si>
  <si>
    <t>Next ToM-S</t>
  </si>
  <si>
    <t>8.89-9.53</t>
  </si>
  <si>
    <t>GCVS 4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</si>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</sst>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/>
    <xf numFmtId="0" fontId="16" fillId="0" borderId="7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Gru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-4052</c:v>
                </c:pt>
                <c:pt idx="1">
                  <c:v>-4052</c:v>
                </c:pt>
                <c:pt idx="2">
                  <c:v>-4052</c:v>
                </c:pt>
                <c:pt idx="3">
                  <c:v>-4051</c:v>
                </c:pt>
                <c:pt idx="4">
                  <c:v>-4051</c:v>
                </c:pt>
                <c:pt idx="5">
                  <c:v>-4051</c:v>
                </c:pt>
                <c:pt idx="6">
                  <c:v>-4038.5</c:v>
                </c:pt>
                <c:pt idx="7">
                  <c:v>-4038.5</c:v>
                </c:pt>
                <c:pt idx="8">
                  <c:v>-4038.5</c:v>
                </c:pt>
                <c:pt idx="9">
                  <c:v>-3917.5</c:v>
                </c:pt>
                <c:pt idx="10">
                  <c:v>-3917.5</c:v>
                </c:pt>
                <c:pt idx="11">
                  <c:v>-3917.5</c:v>
                </c:pt>
                <c:pt idx="12">
                  <c:v>-3803</c:v>
                </c:pt>
                <c:pt idx="13">
                  <c:v>-3803</c:v>
                </c:pt>
                <c:pt idx="14">
                  <c:v>-3803</c:v>
                </c:pt>
                <c:pt idx="15">
                  <c:v>-1113</c:v>
                </c:pt>
                <c:pt idx="16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1.5229999997245613E-2</c:v>
                </c:pt>
                <c:pt idx="1">
                  <c:v>1.9889999995939434E-2</c:v>
                </c:pt>
                <c:pt idx="2">
                  <c:v>2.1589999996649567E-2</c:v>
                </c:pt>
                <c:pt idx="3">
                  <c:v>1.7449999999371357E-2</c:v>
                </c:pt>
                <c:pt idx="4">
                  <c:v>1.9150000000081491E-2</c:v>
                </c:pt>
                <c:pt idx="5">
                  <c:v>1.9650000002002344E-2</c:v>
                </c:pt>
                <c:pt idx="6">
                  <c:v>2.6190000004135072E-2</c:v>
                </c:pt>
                <c:pt idx="7">
                  <c:v>2.8050000000803266E-2</c:v>
                </c:pt>
                <c:pt idx="8">
                  <c:v>2.8980000002775341E-2</c:v>
                </c:pt>
                <c:pt idx="9">
                  <c:v>2.3370000002614688E-2</c:v>
                </c:pt>
                <c:pt idx="10">
                  <c:v>2.4530000002414454E-2</c:v>
                </c:pt>
                <c:pt idx="11">
                  <c:v>2.4940000002970919E-2</c:v>
                </c:pt>
                <c:pt idx="12">
                  <c:v>1.6049999998358544E-2</c:v>
                </c:pt>
                <c:pt idx="13">
                  <c:v>1.720999999815831E-2</c:v>
                </c:pt>
                <c:pt idx="14">
                  <c:v>1.7260000000533182E-2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F6-4D67-82ED-76BAEEA84B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-4052</c:v>
                </c:pt>
                <c:pt idx="1">
                  <c:v>-4052</c:v>
                </c:pt>
                <c:pt idx="2">
                  <c:v>-4052</c:v>
                </c:pt>
                <c:pt idx="3">
                  <c:v>-4051</c:v>
                </c:pt>
                <c:pt idx="4">
                  <c:v>-4051</c:v>
                </c:pt>
                <c:pt idx="5">
                  <c:v>-4051</c:v>
                </c:pt>
                <c:pt idx="6">
                  <c:v>-4038.5</c:v>
                </c:pt>
                <c:pt idx="7">
                  <c:v>-4038.5</c:v>
                </c:pt>
                <c:pt idx="8">
                  <c:v>-4038.5</c:v>
                </c:pt>
                <c:pt idx="9">
                  <c:v>-3917.5</c:v>
                </c:pt>
                <c:pt idx="10">
                  <c:v>-3917.5</c:v>
                </c:pt>
                <c:pt idx="11">
                  <c:v>-3917.5</c:v>
                </c:pt>
                <c:pt idx="12">
                  <c:v>-3803</c:v>
                </c:pt>
                <c:pt idx="13">
                  <c:v>-3803</c:v>
                </c:pt>
                <c:pt idx="14">
                  <c:v>-3803</c:v>
                </c:pt>
                <c:pt idx="15">
                  <c:v>-1113</c:v>
                </c:pt>
                <c:pt idx="16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F6-4D67-82ED-76BAEEA84B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-4052</c:v>
                </c:pt>
                <c:pt idx="1">
                  <c:v>-4052</c:v>
                </c:pt>
                <c:pt idx="2">
                  <c:v>-4052</c:v>
                </c:pt>
                <c:pt idx="3">
                  <c:v>-4051</c:v>
                </c:pt>
                <c:pt idx="4">
                  <c:v>-4051</c:v>
                </c:pt>
                <c:pt idx="5">
                  <c:v>-4051</c:v>
                </c:pt>
                <c:pt idx="6">
                  <c:v>-4038.5</c:v>
                </c:pt>
                <c:pt idx="7">
                  <c:v>-4038.5</c:v>
                </c:pt>
                <c:pt idx="8">
                  <c:v>-4038.5</c:v>
                </c:pt>
                <c:pt idx="9">
                  <c:v>-3917.5</c:v>
                </c:pt>
                <c:pt idx="10">
                  <c:v>-3917.5</c:v>
                </c:pt>
                <c:pt idx="11">
                  <c:v>-3917.5</c:v>
                </c:pt>
                <c:pt idx="12">
                  <c:v>-3803</c:v>
                </c:pt>
                <c:pt idx="13">
                  <c:v>-3803</c:v>
                </c:pt>
                <c:pt idx="14">
                  <c:v>-3803</c:v>
                </c:pt>
                <c:pt idx="15">
                  <c:v>-1113</c:v>
                </c:pt>
                <c:pt idx="16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5">
                  <c:v>3.9199999955599196E-3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F6-4D67-82ED-76BAEEA84B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-4052</c:v>
                </c:pt>
                <c:pt idx="1">
                  <c:v>-4052</c:v>
                </c:pt>
                <c:pt idx="2">
                  <c:v>-4052</c:v>
                </c:pt>
                <c:pt idx="3">
                  <c:v>-4051</c:v>
                </c:pt>
                <c:pt idx="4">
                  <c:v>-4051</c:v>
                </c:pt>
                <c:pt idx="5">
                  <c:v>-4051</c:v>
                </c:pt>
                <c:pt idx="6">
                  <c:v>-4038.5</c:v>
                </c:pt>
                <c:pt idx="7">
                  <c:v>-4038.5</c:v>
                </c:pt>
                <c:pt idx="8">
                  <c:v>-4038.5</c:v>
                </c:pt>
                <c:pt idx="9">
                  <c:v>-3917.5</c:v>
                </c:pt>
                <c:pt idx="10">
                  <c:v>-3917.5</c:v>
                </c:pt>
                <c:pt idx="11">
                  <c:v>-3917.5</c:v>
                </c:pt>
                <c:pt idx="12">
                  <c:v>-3803</c:v>
                </c:pt>
                <c:pt idx="13">
                  <c:v>-3803</c:v>
                </c:pt>
                <c:pt idx="14">
                  <c:v>-3803</c:v>
                </c:pt>
                <c:pt idx="15">
                  <c:v>-1113</c:v>
                </c:pt>
                <c:pt idx="16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F6-4D67-82ED-76BAEEA84B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-4052</c:v>
                </c:pt>
                <c:pt idx="1">
                  <c:v>-4052</c:v>
                </c:pt>
                <c:pt idx="2">
                  <c:v>-4052</c:v>
                </c:pt>
                <c:pt idx="3">
                  <c:v>-4051</c:v>
                </c:pt>
                <c:pt idx="4">
                  <c:v>-4051</c:v>
                </c:pt>
                <c:pt idx="5">
                  <c:v>-4051</c:v>
                </c:pt>
                <c:pt idx="6">
                  <c:v>-4038.5</c:v>
                </c:pt>
                <c:pt idx="7">
                  <c:v>-4038.5</c:v>
                </c:pt>
                <c:pt idx="8">
                  <c:v>-4038.5</c:v>
                </c:pt>
                <c:pt idx="9">
                  <c:v>-3917.5</c:v>
                </c:pt>
                <c:pt idx="10">
                  <c:v>-3917.5</c:v>
                </c:pt>
                <c:pt idx="11">
                  <c:v>-3917.5</c:v>
                </c:pt>
                <c:pt idx="12">
                  <c:v>-3803</c:v>
                </c:pt>
                <c:pt idx="13">
                  <c:v>-3803</c:v>
                </c:pt>
                <c:pt idx="14">
                  <c:v>-3803</c:v>
                </c:pt>
                <c:pt idx="15">
                  <c:v>-1113</c:v>
                </c:pt>
                <c:pt idx="16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F6-4D67-82ED-76BAEEA84B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-4052</c:v>
                </c:pt>
                <c:pt idx="1">
                  <c:v>-4052</c:v>
                </c:pt>
                <c:pt idx="2">
                  <c:v>-4052</c:v>
                </c:pt>
                <c:pt idx="3">
                  <c:v>-4051</c:v>
                </c:pt>
                <c:pt idx="4">
                  <c:v>-4051</c:v>
                </c:pt>
                <c:pt idx="5">
                  <c:v>-4051</c:v>
                </c:pt>
                <c:pt idx="6">
                  <c:v>-4038.5</c:v>
                </c:pt>
                <c:pt idx="7">
                  <c:v>-4038.5</c:v>
                </c:pt>
                <c:pt idx="8">
                  <c:v>-4038.5</c:v>
                </c:pt>
                <c:pt idx="9">
                  <c:v>-3917.5</c:v>
                </c:pt>
                <c:pt idx="10">
                  <c:v>-3917.5</c:v>
                </c:pt>
                <c:pt idx="11">
                  <c:v>-3917.5</c:v>
                </c:pt>
                <c:pt idx="12">
                  <c:v>-3803</c:v>
                </c:pt>
                <c:pt idx="13">
                  <c:v>-3803</c:v>
                </c:pt>
                <c:pt idx="14">
                  <c:v>-3803</c:v>
                </c:pt>
                <c:pt idx="15">
                  <c:v>-1113</c:v>
                </c:pt>
                <c:pt idx="16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F6-4D67-82ED-76BAEEA84B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1.0499999999999999E-3</c:v>
                  </c:pt>
                  <c:pt idx="1">
                    <c:v>2.5999999999999998E-4</c:v>
                  </c:pt>
                  <c:pt idx="2">
                    <c:v>1.7000000000000001E-4</c:v>
                  </c:pt>
                  <c:pt idx="3">
                    <c:v>4.8000000000000001E-4</c:v>
                  </c:pt>
                  <c:pt idx="4">
                    <c:v>2.5999999999999998E-4</c:v>
                  </c:pt>
                  <c:pt idx="5">
                    <c:v>1.9000000000000001E-4</c:v>
                  </c:pt>
                  <c:pt idx="6">
                    <c:v>4.8000000000000001E-4</c:v>
                  </c:pt>
                  <c:pt idx="7">
                    <c:v>1.7000000000000001E-4</c:v>
                  </c:pt>
                  <c:pt idx="8">
                    <c:v>9.8999999999999999E-4</c:v>
                  </c:pt>
                  <c:pt idx="9">
                    <c:v>2.7999999999999998E-4</c:v>
                  </c:pt>
                  <c:pt idx="10">
                    <c:v>1.9000000000000001E-4</c:v>
                  </c:pt>
                  <c:pt idx="11">
                    <c:v>4.2999999999999999E-4</c:v>
                  </c:pt>
                  <c:pt idx="12">
                    <c:v>1.47E-3</c:v>
                  </c:pt>
                  <c:pt idx="13">
                    <c:v>7.2000000000000005E-4</c:v>
                  </c:pt>
                  <c:pt idx="14">
                    <c:v>3.8000000000000002E-4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-4052</c:v>
                </c:pt>
                <c:pt idx="1">
                  <c:v>-4052</c:v>
                </c:pt>
                <c:pt idx="2">
                  <c:v>-4052</c:v>
                </c:pt>
                <c:pt idx="3">
                  <c:v>-4051</c:v>
                </c:pt>
                <c:pt idx="4">
                  <c:v>-4051</c:v>
                </c:pt>
                <c:pt idx="5">
                  <c:v>-4051</c:v>
                </c:pt>
                <c:pt idx="6">
                  <c:v>-4038.5</c:v>
                </c:pt>
                <c:pt idx="7">
                  <c:v>-4038.5</c:v>
                </c:pt>
                <c:pt idx="8">
                  <c:v>-4038.5</c:v>
                </c:pt>
                <c:pt idx="9">
                  <c:v>-3917.5</c:v>
                </c:pt>
                <c:pt idx="10">
                  <c:v>-3917.5</c:v>
                </c:pt>
                <c:pt idx="11">
                  <c:v>-3917.5</c:v>
                </c:pt>
                <c:pt idx="12">
                  <c:v>-3803</c:v>
                </c:pt>
                <c:pt idx="13">
                  <c:v>-3803</c:v>
                </c:pt>
                <c:pt idx="14">
                  <c:v>-3803</c:v>
                </c:pt>
                <c:pt idx="15">
                  <c:v>-1113</c:v>
                </c:pt>
                <c:pt idx="16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F6-4D67-82ED-76BAEEA84B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-4052</c:v>
                </c:pt>
                <c:pt idx="1">
                  <c:v>-4052</c:v>
                </c:pt>
                <c:pt idx="2">
                  <c:v>-4052</c:v>
                </c:pt>
                <c:pt idx="3">
                  <c:v>-4051</c:v>
                </c:pt>
                <c:pt idx="4">
                  <c:v>-4051</c:v>
                </c:pt>
                <c:pt idx="5">
                  <c:v>-4051</c:v>
                </c:pt>
                <c:pt idx="6">
                  <c:v>-4038.5</c:v>
                </c:pt>
                <c:pt idx="7">
                  <c:v>-4038.5</c:v>
                </c:pt>
                <c:pt idx="8">
                  <c:v>-4038.5</c:v>
                </c:pt>
                <c:pt idx="9">
                  <c:v>-3917.5</c:v>
                </c:pt>
                <c:pt idx="10">
                  <c:v>-3917.5</c:v>
                </c:pt>
                <c:pt idx="11">
                  <c:v>-3917.5</c:v>
                </c:pt>
                <c:pt idx="12">
                  <c:v>-3803</c:v>
                </c:pt>
                <c:pt idx="13">
                  <c:v>-3803</c:v>
                </c:pt>
                <c:pt idx="14">
                  <c:v>-3803</c:v>
                </c:pt>
                <c:pt idx="15">
                  <c:v>-1113</c:v>
                </c:pt>
                <c:pt idx="16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2.1747270484072857E-2</c:v>
                </c:pt>
                <c:pt idx="1">
                  <c:v>2.1747270484072857E-2</c:v>
                </c:pt>
                <c:pt idx="2">
                  <c:v>2.1747270484072857E-2</c:v>
                </c:pt>
                <c:pt idx="3">
                  <c:v>2.1741620685877424E-2</c:v>
                </c:pt>
                <c:pt idx="4">
                  <c:v>2.1741620685877424E-2</c:v>
                </c:pt>
                <c:pt idx="5">
                  <c:v>2.1741620685877424E-2</c:v>
                </c:pt>
                <c:pt idx="6">
                  <c:v>2.1670998208434503E-2</c:v>
                </c:pt>
                <c:pt idx="7">
                  <c:v>2.1670998208434503E-2</c:v>
                </c:pt>
                <c:pt idx="8">
                  <c:v>2.1670998208434503E-2</c:v>
                </c:pt>
                <c:pt idx="9">
                  <c:v>2.0987372626787022E-2</c:v>
                </c:pt>
                <c:pt idx="10">
                  <c:v>2.0987372626787022E-2</c:v>
                </c:pt>
                <c:pt idx="11">
                  <c:v>2.0987372626787022E-2</c:v>
                </c:pt>
                <c:pt idx="12">
                  <c:v>2.034047073340986E-2</c:v>
                </c:pt>
                <c:pt idx="13">
                  <c:v>2.034047073340986E-2</c:v>
                </c:pt>
                <c:pt idx="14">
                  <c:v>2.034047073340986E-2</c:v>
                </c:pt>
                <c:pt idx="15">
                  <c:v>5.1425135876931212E-3</c:v>
                </c:pt>
                <c:pt idx="16">
                  <c:v>-1.1457118038246221E-3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F6-4D67-82ED-76BAEEA84BA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-4052</c:v>
                </c:pt>
                <c:pt idx="1">
                  <c:v>-4052</c:v>
                </c:pt>
                <c:pt idx="2">
                  <c:v>-4052</c:v>
                </c:pt>
                <c:pt idx="3">
                  <c:v>-4051</c:v>
                </c:pt>
                <c:pt idx="4">
                  <c:v>-4051</c:v>
                </c:pt>
                <c:pt idx="5">
                  <c:v>-4051</c:v>
                </c:pt>
                <c:pt idx="6">
                  <c:v>-4038.5</c:v>
                </c:pt>
                <c:pt idx="7">
                  <c:v>-4038.5</c:v>
                </c:pt>
                <c:pt idx="8">
                  <c:v>-4038.5</c:v>
                </c:pt>
                <c:pt idx="9">
                  <c:v>-3917.5</c:v>
                </c:pt>
                <c:pt idx="10">
                  <c:v>-3917.5</c:v>
                </c:pt>
                <c:pt idx="11">
                  <c:v>-3917.5</c:v>
                </c:pt>
                <c:pt idx="12">
                  <c:v>-3803</c:v>
                </c:pt>
                <c:pt idx="13">
                  <c:v>-3803</c:v>
                </c:pt>
                <c:pt idx="14">
                  <c:v>-3803</c:v>
                </c:pt>
                <c:pt idx="15">
                  <c:v>-1113</c:v>
                </c:pt>
                <c:pt idx="16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F6-4D67-82ED-76BAEEA84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344656"/>
        <c:axId val="1"/>
      </c:scatterChart>
      <c:valAx>
        <c:axId val="683344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344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5338345864661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F5692F-DC87-5653-98F0-34DBA1AEC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28515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  <c r="E1" s="27" t="s">
        <v>37</v>
      </c>
      <c r="F1" t="s">
        <v>43</v>
      </c>
    </row>
    <row r="2" spans="1:7" ht="12.95" customHeight="1" x14ac:dyDescent="0.2">
      <c r="A2" t="s">
        <v>23</v>
      </c>
      <c r="B2" t="s">
        <v>39</v>
      </c>
      <c r="C2" s="3"/>
      <c r="D2" s="3"/>
      <c r="E2">
        <v>0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8">
        <v>52503.053999999996</v>
      </c>
      <c r="D4" s="9">
        <v>2.9685350000000001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>
        <v>55807.035100000001</v>
      </c>
      <c r="D7" s="30" t="s">
        <v>45</v>
      </c>
    </row>
    <row r="8" spans="1:7" ht="12.95" customHeight="1" x14ac:dyDescent="0.2">
      <c r="A8" t="s">
        <v>3</v>
      </c>
      <c r="C8">
        <v>2.96854</v>
      </c>
      <c r="D8" s="30" t="s">
        <v>45</v>
      </c>
    </row>
    <row r="9" spans="1:7" ht="12.95" customHeight="1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7" ht="12.95" customHeight="1" x14ac:dyDescent="0.2">
      <c r="A11" s="12" t="s">
        <v>15</v>
      </c>
      <c r="B11" s="12"/>
      <c r="C11" s="21">
        <f ca="1">INTERCEPT(INDIRECT($G$11):G992,INDIRECT($F$11):F992)</f>
        <v>-1.1457118038246221E-3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ht="12.95" customHeight="1" x14ac:dyDescent="0.2">
      <c r="A12" s="12" t="s">
        <v>16</v>
      </c>
      <c r="B12" s="12"/>
      <c r="C12" s="21">
        <f ca="1">SLOPE(INDIRECT($G$11):G992,INDIRECT($F$11):F992)</f>
        <v>-5.6497981954337317E-6</v>
      </c>
      <c r="D12" s="3"/>
      <c r="E12" s="34" t="s">
        <v>46</v>
      </c>
      <c r="F12" s="35" t="s">
        <v>49</v>
      </c>
    </row>
    <row r="13" spans="1:7" ht="12.95" customHeight="1" x14ac:dyDescent="0.2">
      <c r="A13" s="12" t="s">
        <v>18</v>
      </c>
      <c r="B13" s="12"/>
      <c r="C13" s="3" t="s">
        <v>13</v>
      </c>
      <c r="D13" s="16"/>
      <c r="E13" s="31" t="s">
        <v>35</v>
      </c>
      <c r="F13" s="36">
        <v>1</v>
      </c>
    </row>
    <row r="14" spans="1:7" ht="12.95" customHeight="1" x14ac:dyDescent="0.2">
      <c r="A14" s="12"/>
      <c r="B14" s="12"/>
      <c r="C14" s="12"/>
      <c r="D14" s="16"/>
      <c r="E14" s="31" t="s">
        <v>31</v>
      </c>
      <c r="F14" s="37">
        <f ca="1">NOW()+15018.5+$C$9/24</f>
        <v>60537.793457870364</v>
      </c>
    </row>
    <row r="15" spans="1:7" ht="12.95" customHeight="1" x14ac:dyDescent="0.2">
      <c r="A15" s="14" t="s">
        <v>17</v>
      </c>
      <c r="B15" s="12"/>
      <c r="C15" s="15">
        <f ca="1">(C7+C11)+(C8+C12)*INT(MAX(F21:F3533))</f>
        <v>55807.033954288199</v>
      </c>
      <c r="D15" s="16"/>
      <c r="E15" s="31" t="s">
        <v>36</v>
      </c>
      <c r="F15" s="37">
        <f ca="1">ROUND(2*($F$14-$C$7)/$C$8,0)/2+$F$13</f>
        <v>1594.5</v>
      </c>
    </row>
    <row r="16" spans="1:7" ht="12.95" customHeight="1" x14ac:dyDescent="0.2">
      <c r="A16" s="17" t="s">
        <v>4</v>
      </c>
      <c r="B16" s="12"/>
      <c r="C16" s="18">
        <f ca="1">+C8+C12</f>
        <v>2.9685343502018045</v>
      </c>
      <c r="D16" s="16"/>
      <c r="E16" s="31" t="s">
        <v>32</v>
      </c>
      <c r="F16" s="37">
        <f ca="1">ROUND(2*($F$14-$C$15)/$C$16,0)/2+$F$13</f>
        <v>1594.5</v>
      </c>
    </row>
    <row r="17" spans="1:18" ht="12.95" customHeight="1" thickBot="1" x14ac:dyDescent="0.25">
      <c r="A17" s="16" t="s">
        <v>28</v>
      </c>
      <c r="B17" s="12"/>
      <c r="C17" s="12">
        <f>COUNT(C21:C2191)</f>
        <v>17</v>
      </c>
      <c r="D17" s="16"/>
      <c r="E17" s="32" t="s">
        <v>47</v>
      </c>
      <c r="F17" s="38">
        <f ca="1">+$C$15+$C$16*$F$16-15018.5-$C$9/24</f>
        <v>45522.257809018316</v>
      </c>
    </row>
    <row r="18" spans="1:18" ht="12.95" customHeight="1" thickTop="1" thickBot="1" x14ac:dyDescent="0.25">
      <c r="A18" s="17" t="s">
        <v>5</v>
      </c>
      <c r="B18" s="12"/>
      <c r="C18" s="19">
        <f ca="1">+C15</f>
        <v>55807.033954288199</v>
      </c>
      <c r="D18" s="20">
        <f ca="1">+C16</f>
        <v>2.9685343502018045</v>
      </c>
      <c r="E18" s="33" t="s">
        <v>48</v>
      </c>
      <c r="F18" s="39">
        <f ca="1">+($C$15+$C$16*$F$16)-($C$16/2)-15018.5-$C$9/24</f>
        <v>45520.773541843213</v>
      </c>
    </row>
    <row r="19" spans="1:18" ht="12.95" customHeight="1" thickTop="1" x14ac:dyDescent="0.2">
      <c r="A19" s="24" t="s">
        <v>33</v>
      </c>
      <c r="E19" s="25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27</v>
      </c>
      <c r="I20" s="7" t="s">
        <v>45</v>
      </c>
      <c r="J20" s="7" t="s">
        <v>51</v>
      </c>
      <c r="K20" s="7" t="s">
        <v>44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34</v>
      </c>
    </row>
    <row r="21" spans="1:18" ht="12.95" customHeight="1" x14ac:dyDescent="0.2">
      <c r="A21" s="28" t="s">
        <v>40</v>
      </c>
      <c r="B21" s="29" t="s">
        <v>41</v>
      </c>
      <c r="C21" s="28">
        <v>43778.526250000003</v>
      </c>
      <c r="D21" s="28">
        <v>1.0499999999999999E-3</v>
      </c>
      <c r="E21">
        <f>+(C21-C$7)/C$8</f>
        <v>-4051.994869531823</v>
      </c>
      <c r="F21">
        <f>ROUND(2*E21,0)/2</f>
        <v>-4052</v>
      </c>
      <c r="G21">
        <f>+C21-(C$7+F21*C$8)</f>
        <v>1.5229999997245613E-2</v>
      </c>
      <c r="H21">
        <f>+G21</f>
        <v>1.5229999997245613E-2</v>
      </c>
      <c r="O21">
        <f ca="1">+C$11+C$12*$F21</f>
        <v>2.1747270484072857E-2</v>
      </c>
      <c r="Q21" s="2">
        <f>+C21-15018.5</f>
        <v>28760.026250000003</v>
      </c>
    </row>
    <row r="22" spans="1:18" ht="12.95" customHeight="1" x14ac:dyDescent="0.2">
      <c r="A22" s="28" t="s">
        <v>40</v>
      </c>
      <c r="B22" s="29" t="s">
        <v>41</v>
      </c>
      <c r="C22" s="28">
        <v>43778.530910000001</v>
      </c>
      <c r="D22" s="28">
        <v>2.5999999999999998E-4</v>
      </c>
      <c r="E22">
        <f>+(C22-C$7)/C$8</f>
        <v>-4051.9932997365709</v>
      </c>
      <c r="F22">
        <f>ROUND(2*E22,0)/2</f>
        <v>-4052</v>
      </c>
      <c r="G22">
        <f>+C22-(C$7+F22*C$8)</f>
        <v>1.9889999995939434E-2</v>
      </c>
      <c r="H22">
        <f>+G22</f>
        <v>1.9889999995939434E-2</v>
      </c>
      <c r="O22">
        <f ca="1">+C$11+C$12*$F22</f>
        <v>2.1747270484072857E-2</v>
      </c>
      <c r="Q22" s="2">
        <f>+C22-15018.5</f>
        <v>28760.030910000001</v>
      </c>
    </row>
    <row r="23" spans="1:18" ht="12.95" customHeight="1" x14ac:dyDescent="0.2">
      <c r="A23" s="28" t="s">
        <v>40</v>
      </c>
      <c r="B23" s="29" t="s">
        <v>41</v>
      </c>
      <c r="C23" s="28">
        <v>43778.532610000002</v>
      </c>
      <c r="D23" s="28">
        <v>1.7000000000000001E-4</v>
      </c>
      <c r="E23">
        <f>+(C23-C$7)/C$8</f>
        <v>-4051.9927270644826</v>
      </c>
      <c r="F23">
        <f>ROUND(2*E23,0)/2</f>
        <v>-4052</v>
      </c>
      <c r="G23">
        <f>+C23-(C$7+F23*C$8)</f>
        <v>2.1589999996649567E-2</v>
      </c>
      <c r="H23">
        <f>+G23</f>
        <v>2.1589999996649567E-2</v>
      </c>
      <c r="O23">
        <f ca="1">+C$11+C$12*$F23</f>
        <v>2.1747270484072857E-2</v>
      </c>
      <c r="Q23" s="2">
        <f>+C23-15018.5</f>
        <v>28760.032610000002</v>
      </c>
    </row>
    <row r="24" spans="1:18" ht="12.95" customHeight="1" x14ac:dyDescent="0.2">
      <c r="A24" s="28" t="s">
        <v>40</v>
      </c>
      <c r="B24" s="29" t="s">
        <v>41</v>
      </c>
      <c r="C24" s="28">
        <v>43781.497009999999</v>
      </c>
      <c r="D24" s="28">
        <v>4.8000000000000001E-4</v>
      </c>
      <c r="E24">
        <f>+(C24-C$7)/C$8</f>
        <v>-4050.9941216894508</v>
      </c>
      <c r="F24">
        <f>ROUND(2*E24,0)/2</f>
        <v>-4051</v>
      </c>
      <c r="G24">
        <f>+C24-(C$7+F24*C$8)</f>
        <v>1.7449999999371357E-2</v>
      </c>
      <c r="H24">
        <f>+G24</f>
        <v>1.7449999999371357E-2</v>
      </c>
      <c r="O24">
        <f ca="1">+C$11+C$12*$F24</f>
        <v>2.1741620685877424E-2</v>
      </c>
      <c r="Q24" s="2">
        <f>+C24-15018.5</f>
        <v>28762.997009999999</v>
      </c>
    </row>
    <row r="25" spans="1:18" ht="12.95" customHeight="1" x14ac:dyDescent="0.2">
      <c r="A25" s="28" t="s">
        <v>40</v>
      </c>
      <c r="B25" s="29" t="s">
        <v>41</v>
      </c>
      <c r="C25" s="28">
        <v>43781.49871</v>
      </c>
      <c r="D25" s="28">
        <v>2.5999999999999998E-4</v>
      </c>
      <c r="E25">
        <f>+(C25-C$7)/C$8</f>
        <v>-4050.9935490173625</v>
      </c>
      <c r="F25">
        <f>ROUND(2*E25,0)/2</f>
        <v>-4051</v>
      </c>
      <c r="G25">
        <f>+C25-(C$7+F25*C$8)</f>
        <v>1.9150000000081491E-2</v>
      </c>
      <c r="H25">
        <f>+G25</f>
        <v>1.9150000000081491E-2</v>
      </c>
      <c r="O25">
        <f ca="1">+C$11+C$12*$F25</f>
        <v>2.1741620685877424E-2</v>
      </c>
      <c r="Q25" s="2">
        <f>+C25-15018.5</f>
        <v>28762.99871</v>
      </c>
    </row>
    <row r="26" spans="1:18" ht="12.95" customHeight="1" x14ac:dyDescent="0.2">
      <c r="A26" s="28" t="s">
        <v>40</v>
      </c>
      <c r="B26" s="29" t="s">
        <v>41</v>
      </c>
      <c r="C26" s="28">
        <v>43781.499210000002</v>
      </c>
      <c r="D26" s="28">
        <v>1.9000000000000001E-4</v>
      </c>
      <c r="E26">
        <f>+(C26-C$7)/C$8</f>
        <v>-4050.9933805843948</v>
      </c>
      <c r="F26">
        <f>ROUND(2*E26,0)/2</f>
        <v>-4051</v>
      </c>
      <c r="G26">
        <f>+C26-(C$7+F26*C$8)</f>
        <v>1.9650000002002344E-2</v>
      </c>
      <c r="H26">
        <f>+G26</f>
        <v>1.9650000002002344E-2</v>
      </c>
      <c r="O26">
        <f ca="1">+C$11+C$12*$F26</f>
        <v>2.1741620685877424E-2</v>
      </c>
      <c r="Q26" s="2">
        <f>+C26-15018.5</f>
        <v>28762.999210000002</v>
      </c>
    </row>
    <row r="27" spans="1:18" ht="12.95" customHeight="1" x14ac:dyDescent="0.2">
      <c r="A27" s="28" t="s">
        <v>40</v>
      </c>
      <c r="B27" s="29" t="s">
        <v>42</v>
      </c>
      <c r="C27" s="28">
        <v>43818.612500000003</v>
      </c>
      <c r="D27" s="28">
        <v>4.8000000000000001E-4</v>
      </c>
      <c r="E27">
        <f>+(C27-C$7)/C$8</f>
        <v>-4038.4911774811853</v>
      </c>
      <c r="F27">
        <f>ROUND(2*E27,0)/2</f>
        <v>-4038.5</v>
      </c>
      <c r="G27">
        <f>+C27-(C$7+F27*C$8)</f>
        <v>2.6190000004135072E-2</v>
      </c>
      <c r="H27">
        <f>+G27</f>
        <v>2.6190000004135072E-2</v>
      </c>
      <c r="O27">
        <f ca="1">+C$11+C$12*$F27</f>
        <v>2.1670998208434503E-2</v>
      </c>
      <c r="Q27" s="2">
        <f>+C27-15018.5</f>
        <v>28800.112500000003</v>
      </c>
    </row>
    <row r="28" spans="1:18" ht="12.95" customHeight="1" x14ac:dyDescent="0.2">
      <c r="A28" s="28" t="s">
        <v>40</v>
      </c>
      <c r="B28" s="29" t="s">
        <v>42</v>
      </c>
      <c r="C28" s="28">
        <v>43818.61436</v>
      </c>
      <c r="D28" s="28">
        <v>1.7000000000000001E-4</v>
      </c>
      <c r="E28">
        <f>+(C28-C$7)/C$8</f>
        <v>-4038.4905509105492</v>
      </c>
      <c r="F28">
        <f>ROUND(2*E28,0)/2</f>
        <v>-4038.5</v>
      </c>
      <c r="G28">
        <f>+C28-(C$7+F28*C$8)</f>
        <v>2.8050000000803266E-2</v>
      </c>
      <c r="H28">
        <f>+G28</f>
        <v>2.8050000000803266E-2</v>
      </c>
      <c r="O28">
        <f ca="1">+C$11+C$12*$F28</f>
        <v>2.1670998208434503E-2</v>
      </c>
      <c r="Q28" s="2">
        <f>+C28-15018.5</f>
        <v>28800.11436</v>
      </c>
    </row>
    <row r="29" spans="1:18" ht="12.95" customHeight="1" x14ac:dyDescent="0.2">
      <c r="A29" s="28" t="s">
        <v>40</v>
      </c>
      <c r="B29" s="29" t="s">
        <v>42</v>
      </c>
      <c r="C29" s="28">
        <v>43818.615290000002</v>
      </c>
      <c r="D29" s="28">
        <v>9.8999999999999999E-4</v>
      </c>
      <c r="E29">
        <f>+(C29-C$7)/C$8</f>
        <v>-4038.4902376252298</v>
      </c>
      <c r="F29">
        <f>ROUND(2*E29,0)/2</f>
        <v>-4038.5</v>
      </c>
      <c r="G29">
        <f>+C29-(C$7+F29*C$8)</f>
        <v>2.8980000002775341E-2</v>
      </c>
      <c r="H29">
        <f>+G29</f>
        <v>2.8980000002775341E-2</v>
      </c>
      <c r="O29">
        <f ca="1">+C$11+C$12*$F29</f>
        <v>2.1670998208434503E-2</v>
      </c>
      <c r="Q29" s="2">
        <f>+C29-15018.5</f>
        <v>28800.115290000002</v>
      </c>
    </row>
    <row r="30" spans="1:18" ht="12.95" customHeight="1" x14ac:dyDescent="0.2">
      <c r="A30" s="28" t="s">
        <v>40</v>
      </c>
      <c r="B30" s="29" t="s">
        <v>42</v>
      </c>
      <c r="C30" s="28">
        <v>44177.803019999999</v>
      </c>
      <c r="D30" s="28">
        <v>2.7999999999999998E-4</v>
      </c>
      <c r="E30">
        <f>+(C30-C$7)/C$8</f>
        <v>-3917.4921274431208</v>
      </c>
      <c r="F30">
        <f>ROUND(2*E30,0)/2</f>
        <v>-3917.5</v>
      </c>
      <c r="G30">
        <f>+C30-(C$7+F30*C$8)</f>
        <v>2.3370000002614688E-2</v>
      </c>
      <c r="H30">
        <f>+G30</f>
        <v>2.3370000002614688E-2</v>
      </c>
      <c r="O30">
        <f ca="1">+C$11+C$12*$F30</f>
        <v>2.0987372626787022E-2</v>
      </c>
      <c r="Q30" s="2">
        <f>+C30-15018.5</f>
        <v>29159.303019999999</v>
      </c>
    </row>
    <row r="31" spans="1:18" ht="12.95" customHeight="1" x14ac:dyDescent="0.2">
      <c r="A31" s="28" t="s">
        <v>40</v>
      </c>
      <c r="B31" s="29" t="s">
        <v>42</v>
      </c>
      <c r="C31" s="28">
        <v>44177.804179999999</v>
      </c>
      <c r="D31" s="28">
        <v>1.9000000000000001E-4</v>
      </c>
      <c r="E31">
        <f>+(C31-C$7)/C$8</f>
        <v>-3917.4917366786372</v>
      </c>
      <c r="F31">
        <f>ROUND(2*E31,0)/2</f>
        <v>-3917.5</v>
      </c>
      <c r="G31">
        <f>+C31-(C$7+F31*C$8)</f>
        <v>2.4530000002414454E-2</v>
      </c>
      <c r="H31">
        <f>+G31</f>
        <v>2.4530000002414454E-2</v>
      </c>
      <c r="O31">
        <f ca="1">+C$11+C$12*$F31</f>
        <v>2.0987372626787022E-2</v>
      </c>
      <c r="Q31" s="2">
        <f>+C31-15018.5</f>
        <v>29159.304179999999</v>
      </c>
    </row>
    <row r="32" spans="1:18" ht="12.95" customHeight="1" x14ac:dyDescent="0.2">
      <c r="A32" s="28" t="s">
        <v>40</v>
      </c>
      <c r="B32" s="29" t="s">
        <v>42</v>
      </c>
      <c r="C32" s="28">
        <v>44177.80459</v>
      </c>
      <c r="D32" s="28">
        <v>4.2999999999999999E-4</v>
      </c>
      <c r="E32">
        <f>+(C32-C$7)/C$8</f>
        <v>-3917.4915985636039</v>
      </c>
      <c r="F32">
        <f>ROUND(2*E32,0)/2</f>
        <v>-3917.5</v>
      </c>
      <c r="G32">
        <f>+C32-(C$7+F32*C$8)</f>
        <v>2.4940000002970919E-2</v>
      </c>
      <c r="H32">
        <f>+G32</f>
        <v>2.4940000002970919E-2</v>
      </c>
      <c r="O32">
        <f ca="1">+C$11+C$12*$F32</f>
        <v>2.0987372626787022E-2</v>
      </c>
      <c r="Q32" s="2">
        <f>+C32-15018.5</f>
        <v>29159.30459</v>
      </c>
    </row>
    <row r="33" spans="1:17" x14ac:dyDescent="0.2">
      <c r="A33" s="28" t="s">
        <v>40</v>
      </c>
      <c r="B33" s="29" t="s">
        <v>41</v>
      </c>
      <c r="C33" s="28">
        <v>44517.693529999997</v>
      </c>
      <c r="D33" s="28">
        <v>1.47E-3</v>
      </c>
      <c r="E33">
        <f>+(C33-C$7)/C$8</f>
        <v>-3802.9945933017593</v>
      </c>
      <c r="F33">
        <f>ROUND(2*E33,0)/2</f>
        <v>-3803</v>
      </c>
      <c r="G33">
        <f>+C33-(C$7+F33*C$8)</f>
        <v>1.6049999998358544E-2</v>
      </c>
      <c r="H33">
        <f>+G33</f>
        <v>1.6049999998358544E-2</v>
      </c>
      <c r="O33">
        <f ca="1">+C$11+C$12*$F33</f>
        <v>2.034047073340986E-2</v>
      </c>
      <c r="Q33" s="2">
        <f>+C33-15018.5</f>
        <v>29499.193529999997</v>
      </c>
    </row>
    <row r="34" spans="1:17" x14ac:dyDescent="0.2">
      <c r="A34" s="28" t="s">
        <v>40</v>
      </c>
      <c r="B34" s="29" t="s">
        <v>41</v>
      </c>
      <c r="C34" s="28">
        <v>44517.694689999997</v>
      </c>
      <c r="D34" s="28">
        <v>7.2000000000000005E-4</v>
      </c>
      <c r="E34">
        <f>+(C34-C$7)/C$8</f>
        <v>-3802.9942025372757</v>
      </c>
      <c r="F34">
        <f>ROUND(2*E34,0)/2</f>
        <v>-3803</v>
      </c>
      <c r="G34">
        <f>+C34-(C$7+F34*C$8)</f>
        <v>1.720999999815831E-2</v>
      </c>
      <c r="H34">
        <f>+G34</f>
        <v>1.720999999815831E-2</v>
      </c>
      <c r="O34">
        <f ca="1">+C$11+C$12*$F34</f>
        <v>2.034047073340986E-2</v>
      </c>
      <c r="Q34" s="2">
        <f>+C34-15018.5</f>
        <v>29499.194689999997</v>
      </c>
    </row>
    <row r="35" spans="1:17" x14ac:dyDescent="0.2">
      <c r="A35" s="28" t="s">
        <v>40</v>
      </c>
      <c r="B35" s="29" t="s">
        <v>41</v>
      </c>
      <c r="C35" s="28">
        <v>44517.694739999999</v>
      </c>
      <c r="D35" s="28">
        <v>3.8000000000000002E-4</v>
      </c>
      <c r="E35">
        <f>+(C35-C$7)/C$8</f>
        <v>-3802.9941856939781</v>
      </c>
      <c r="F35">
        <f>ROUND(2*E35,0)/2</f>
        <v>-3803</v>
      </c>
      <c r="G35">
        <f>+C35-(C$7+F35*C$8)</f>
        <v>1.7260000000533182E-2</v>
      </c>
      <c r="H35">
        <f>+G35</f>
        <v>1.7260000000533182E-2</v>
      </c>
      <c r="O35">
        <f ca="1">+C$11+C$12*$F35</f>
        <v>2.034047073340986E-2</v>
      </c>
      <c r="Q35" s="2">
        <f>+C35-15018.5</f>
        <v>29499.194739999999</v>
      </c>
    </row>
    <row r="36" spans="1:17" x14ac:dyDescent="0.2">
      <c r="A36" s="40" t="s">
        <v>50</v>
      </c>
      <c r="C36" s="10">
        <v>52503.053999999996</v>
      </c>
      <c r="D36" s="10"/>
      <c r="E36">
        <f>+(C36-C$7)/C$8</f>
        <v>-1112.9986794855399</v>
      </c>
      <c r="F36">
        <f>ROUND(2*E36,0)/2</f>
        <v>-1113</v>
      </c>
      <c r="G36">
        <f>+C36-(C$7+F36*C$8)</f>
        <v>3.9199999955599196E-3</v>
      </c>
      <c r="J36">
        <f>+G36</f>
        <v>3.9199999955599196E-3</v>
      </c>
      <c r="O36">
        <f ca="1">+C$11+C$12*$F36</f>
        <v>5.1425135876931212E-3</v>
      </c>
      <c r="Q36" s="2">
        <f>+C36-15018.5</f>
        <v>37484.553999999996</v>
      </c>
    </row>
    <row r="37" spans="1:17" x14ac:dyDescent="0.2">
      <c r="A37" t="str">
        <f>$D$7</f>
        <v>VSX</v>
      </c>
      <c r="C37" s="10">
        <f>$C$7</f>
        <v>55807.035100000001</v>
      </c>
      <c r="D37" s="10" t="s">
        <v>13</v>
      </c>
      <c r="E37">
        <f>+(C37-C$7)/C$8</f>
        <v>0</v>
      </c>
      <c r="F37">
        <f>ROUND(2*E37,0)/2</f>
        <v>0</v>
      </c>
      <c r="G37">
        <f>+C37-(C$7+F37*C$8)</f>
        <v>0</v>
      </c>
      <c r="I37">
        <f>+G37</f>
        <v>0</v>
      </c>
      <c r="O37">
        <f ca="1">+C$11+C$12*$F37</f>
        <v>-1.1457118038246221E-3</v>
      </c>
      <c r="Q37" s="2">
        <f>+C37-15018.5</f>
        <v>40788.535100000001</v>
      </c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Y41">
    <sortCondition ref="C21:C41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2024-08-15T07:02:34Z</dcterms:modified>
</cp:coreProperties>
</file>