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E75399-398C-47C3-AE37-E7948E366F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4" i="1" l="1"/>
  <c r="F44" i="1"/>
  <c r="G44" i="1"/>
  <c r="K44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U35" i="1"/>
  <c r="E36" i="1"/>
  <c r="F36" i="1"/>
  <c r="U36" i="1"/>
  <c r="E37" i="1"/>
  <c r="F37" i="1"/>
  <c r="U37" i="1"/>
  <c r="E38" i="1"/>
  <c r="F38" i="1"/>
  <c r="U38" i="1"/>
  <c r="E39" i="1"/>
  <c r="F39" i="1"/>
  <c r="U39" i="1"/>
  <c r="E40" i="1"/>
  <c r="F40" i="1"/>
  <c r="U40" i="1"/>
  <c r="E41" i="1"/>
  <c r="F41" i="1"/>
  <c r="G41" i="1"/>
  <c r="I41" i="1"/>
  <c r="E42" i="1"/>
  <c r="F42" i="1"/>
  <c r="G42" i="1"/>
  <c r="I42" i="1"/>
  <c r="E43" i="1"/>
  <c r="F43" i="1"/>
  <c r="G43" i="1"/>
  <c r="J43" i="1"/>
  <c r="E45" i="1"/>
  <c r="F45" i="1"/>
  <c r="G45" i="1"/>
  <c r="I45" i="1"/>
  <c r="E46" i="1"/>
  <c r="F46" i="1"/>
  <c r="G46" i="1"/>
  <c r="I46" i="1"/>
  <c r="E47" i="1"/>
  <c r="F47" i="1"/>
  <c r="G47" i="1"/>
  <c r="I47" i="1"/>
  <c r="D9" i="1"/>
  <c r="C9" i="1"/>
  <c r="Q44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5" i="1"/>
  <c r="Q46" i="1"/>
  <c r="Q47" i="1"/>
  <c r="G36" i="2"/>
  <c r="C36" i="2"/>
  <c r="E36" i="2"/>
  <c r="G35" i="2"/>
  <c r="C35" i="2"/>
  <c r="E35" i="2"/>
  <c r="G34" i="2"/>
  <c r="C34" i="2"/>
  <c r="E34" i="2"/>
  <c r="G11" i="2"/>
  <c r="C11" i="2"/>
  <c r="E11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36" i="2"/>
  <c r="B36" i="2"/>
  <c r="D36" i="2"/>
  <c r="A36" i="2"/>
  <c r="H35" i="2"/>
  <c r="B35" i="2"/>
  <c r="D35" i="2"/>
  <c r="A35" i="2"/>
  <c r="H34" i="2"/>
  <c r="B34" i="2"/>
  <c r="D34" i="2"/>
  <c r="A34" i="2"/>
  <c r="H11" i="2"/>
  <c r="B11" i="2"/>
  <c r="D11" i="2"/>
  <c r="A11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Q43" i="1"/>
  <c r="F16" i="1"/>
  <c r="F17" i="1" s="1"/>
  <c r="C17" i="1"/>
  <c r="C11" i="1"/>
  <c r="C12" i="1"/>
  <c r="C16" i="1" l="1"/>
  <c r="D18" i="1" s="1"/>
  <c r="O26" i="1"/>
  <c r="O39" i="1"/>
  <c r="O46" i="1"/>
  <c r="O27" i="1"/>
  <c r="O32" i="1"/>
  <c r="O31" i="1"/>
  <c r="O42" i="1"/>
  <c r="O33" i="1"/>
  <c r="O34" i="1"/>
  <c r="O29" i="1"/>
  <c r="O47" i="1"/>
  <c r="O28" i="1"/>
  <c r="O36" i="1"/>
  <c r="O41" i="1"/>
  <c r="O25" i="1"/>
  <c r="O30" i="1"/>
  <c r="O40" i="1"/>
  <c r="O24" i="1"/>
  <c r="C15" i="1"/>
  <c r="F18" i="1" s="1"/>
  <c r="O23" i="1"/>
  <c r="O43" i="1"/>
  <c r="O44" i="1"/>
  <c r="O38" i="1"/>
  <c r="O37" i="1"/>
  <c r="O21" i="1"/>
  <c r="O35" i="1"/>
  <c r="O22" i="1"/>
  <c r="O45" i="1"/>
  <c r="F19" i="1" l="1"/>
  <c r="C18" i="1"/>
</calcChain>
</file>

<file path=xl/sharedStrings.xml><?xml version="1.0" encoding="utf-8"?>
<sst xmlns="http://schemas.openxmlformats.org/spreadsheetml/2006/main" count="321" uniqueCount="165">
  <si>
    <t>BAVM 179 </t>
  </si>
  <si>
    <t> JAAVSO 41;122 </t>
  </si>
  <si>
    <t>2423257.420 </t>
  </si>
  <si>
    <t> 21.07.1922 22:04 </t>
  </si>
  <si>
    <t> E.Leiner </t>
  </si>
  <si>
    <t> AN 221.318 </t>
  </si>
  <si>
    <t>2423628.559 </t>
  </si>
  <si>
    <t> 28.07.1923 01:24 </t>
  </si>
  <si>
    <t>2424302.448 </t>
  </si>
  <si>
    <t> 31.05.1925 22:45 </t>
  </si>
  <si>
    <t> AN 226.201 </t>
  </si>
  <si>
    <t>2425484.22 </t>
  </si>
  <si>
    <t> 25.08.1928 17:16 </t>
  </si>
  <si>
    <t> 0.02 </t>
  </si>
  <si>
    <t> D.B.McLaughlin </t>
  </si>
  <si>
    <t>2427623.116 </t>
  </si>
  <si>
    <t> 04.07.1934 14:47 </t>
  </si>
  <si>
    <t> 0.035 </t>
  </si>
  <si>
    <t> AN 259.191 </t>
  </si>
  <si>
    <t>2427711.005 </t>
  </si>
  <si>
    <t> 30.09.1934 12:07 </t>
  </si>
  <si>
    <t> 0.025 </t>
  </si>
  <si>
    <t>2427877.051 </t>
  </si>
  <si>
    <t> 15.03.1935 13:13 </t>
  </si>
  <si>
    <t> 0.039 </t>
  </si>
  <si>
    <t>2427906.353 </t>
  </si>
  <si>
    <t> 13.04.1935 20:28 </t>
  </si>
  <si>
    <t> 0.042 </t>
  </si>
  <si>
    <t>2427925.867 </t>
  </si>
  <si>
    <t> 03.05.1935 08:48 </t>
  </si>
  <si>
    <t>2427964.940 </t>
  </si>
  <si>
    <t> 11.06.1935 10:33 </t>
  </si>
  <si>
    <t> 0.029 </t>
  </si>
  <si>
    <t>2427994.259 </t>
  </si>
  <si>
    <t> 10.07.1935 18:12 </t>
  </si>
  <si>
    <t> 0.049 </t>
  </si>
  <si>
    <t>2428062.607 </t>
  </si>
  <si>
    <t> 17.09.1935 02:34 </t>
  </si>
  <si>
    <t> 0.031 </t>
  </si>
  <si>
    <t>2429127.156 </t>
  </si>
  <si>
    <t> 16.08.1938 15:44 </t>
  </si>
  <si>
    <t> D.Y.Martinoff </t>
  </si>
  <si>
    <t> IKZ 26.42 </t>
  </si>
  <si>
    <t>2429928.050 </t>
  </si>
  <si>
    <t> 25.10.1940 13:12 </t>
  </si>
  <si>
    <t> 0.059 </t>
  </si>
  <si>
    <t>2437145.455 </t>
  </si>
  <si>
    <t> 29.07.1960 22:55 </t>
  </si>
  <si>
    <t>P </t>
  </si>
  <si>
    <t> H.Huth </t>
  </si>
  <si>
    <t> MVS 2.123 </t>
  </si>
  <si>
    <t>2437731.667 </t>
  </si>
  <si>
    <t> 08.03.1962 04:00 </t>
  </si>
  <si>
    <t> 0.186 </t>
  </si>
  <si>
    <t>2437907.404 </t>
  </si>
  <si>
    <t> 30.08.1962 21:41 </t>
  </si>
  <si>
    <t> 0.125 </t>
  </si>
  <si>
    <t>2438092.653 </t>
  </si>
  <si>
    <t> 04.03.1963 03:40 </t>
  </si>
  <si>
    <t> -0.191 </t>
  </si>
  <si>
    <t>2438112.611 </t>
  </si>
  <si>
    <t> 24.03.1963 02:39 </t>
  </si>
  <si>
    <t> 0.234 </t>
  </si>
  <si>
    <t>2438239.439 </t>
  </si>
  <si>
    <t> 28.07.1963 22:32 </t>
  </si>
  <si>
    <t> 0.097 </t>
  </si>
  <si>
    <t>2439001.1348 </t>
  </si>
  <si>
    <t> 28.08.1965 15:14 </t>
  </si>
  <si>
    <t> 0.0000 </t>
  </si>
  <si>
    <t> Korsch &amp; Walter </t>
  </si>
  <si>
    <t> AN 291.233 </t>
  </si>
  <si>
    <t>2449578.36 </t>
  </si>
  <si>
    <t> 13.08.1994 20:38 </t>
  </si>
  <si>
    <t> 0.03 </t>
  </si>
  <si>
    <t> J.Gensler </t>
  </si>
  <si>
    <t>BAVM 79 </t>
  </si>
  <si>
    <t>2450262.095 </t>
  </si>
  <si>
    <t> 27.06.1996 14:16 </t>
  </si>
  <si>
    <t> 0.105 </t>
  </si>
  <si>
    <t> S.Cook </t>
  </si>
  <si>
    <t>2452547.49 </t>
  </si>
  <si>
    <t> 29.09.2002 23:45 </t>
  </si>
  <si>
    <t> 0.12 </t>
  </si>
  <si>
    <t>BAVM 157 </t>
  </si>
  <si>
    <t>2453270.213 </t>
  </si>
  <si>
    <t> 21.09.2004 17:06 </t>
  </si>
  <si>
    <t> 0.119 </t>
  </si>
  <si>
    <t> Meyer </t>
  </si>
  <si>
    <t>2455096.3967 </t>
  </si>
  <si>
    <t> 21.09.2009 21:31 </t>
  </si>
  <si>
    <t> -0.0455 </t>
  </si>
  <si>
    <t>BAVM 212 </t>
  </si>
  <si>
    <t>GCVS 4</t>
  </si>
  <si>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</si>
  <si>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</si>
  <si>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</si>
  <si>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</si>
  <si>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</si>
  <si>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</si>
  <si>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</si>
  <si>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</si>
  <si>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</si>
  <si>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</si>
  <si>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</si>
  <si>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</si>
  <si>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</si>
  <si>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</si>
  <si>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</si>
  <si>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</si>
  <si>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</si>
  <si>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</si>
  <si>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</si>
  <si>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</si>
  <si>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</si>
  <si>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</si>
  <si>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</si>
  <si>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</si>
  <si>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</si>
  <si>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</si>
  <si>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</si>
  <si>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</si>
  <si>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</si>
  <si>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</si>
  <si>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</si>
  <si>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</si>
  <si>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</si>
  <si>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</si>
  <si>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</si>
  <si>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</si>
  <si>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</si>
  <si>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AD Her</t>
  </si>
  <si>
    <t>AD Her / GSC 1596-2599</t>
  </si>
  <si>
    <t>EA/SD</t>
  </si>
  <si>
    <t>Kreiner</t>
  </si>
  <si>
    <t>2013JAVSO..41..122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</si>
  <si>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</si>
  <si>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</si>
  <si>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</si>
  <si>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</si>
  <si>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</si>
  <si>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</si>
  <si>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</si>
  <si>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</si>
  <si>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</si>
  <si>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</si>
  <si>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</si>
  <si>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</si>
  <si>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</si>
  <si>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V </t>
  </si>
  <si>
    <t> -0.031 </t>
  </si>
  <si>
    <t> AJ 39.85 </t>
  </si>
  <si>
    <t>E </t>
  </si>
  <si>
    <t>?</t>
  </si>
  <si>
    <t> F.Lause </t>
  </si>
  <si>
    <t> S.Gaposchkin </t>
  </si>
  <si>
    <t> HA 113.74 </t>
  </si>
  <si>
    <t> 0.023 </t>
  </si>
  <si>
    <t> 0.001 </t>
  </si>
  <si>
    <t> -0.004 </t>
  </si>
  <si>
    <t> 0.005 </t>
  </si>
  <si>
    <t> P.Frank </t>
  </si>
  <si>
    <t> R.Meyer </t>
  </si>
  <si>
    <t>-I</t>
  </si>
  <si>
    <t>C </t>
  </si>
  <si>
    <t>G1596-2599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</si>
</sst>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AD Her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8E-4F1C-AF4A-00758A6672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0.12166399999841815</c:v>
                </c:pt>
                <c:pt idx="1">
                  <c:v>0.12807040000188863</c:v>
                </c:pt>
                <c:pt idx="2">
                  <c:v>0.1184136000010767</c:v>
                </c:pt>
                <c:pt idx="3">
                  <c:v>0.12610240000140038</c:v>
                </c:pt>
                <c:pt idx="4">
                  <c:v>0.12636560000100872</c:v>
                </c:pt>
                <c:pt idx="5">
                  <c:v>0.11554080000132672</c:v>
                </c:pt>
                <c:pt idx="6">
                  <c:v>0.1285384000002523</c:v>
                </c:pt>
                <c:pt idx="7">
                  <c:v>0.13059679999787477</c:v>
                </c:pt>
                <c:pt idx="8">
                  <c:v>0.11130239999693003</c:v>
                </c:pt>
                <c:pt idx="9">
                  <c:v>0.11771359999693232</c:v>
                </c:pt>
                <c:pt idx="10">
                  <c:v>0.13677199999801815</c:v>
                </c:pt>
                <c:pt idx="11">
                  <c:v>0.11824160000105621</c:v>
                </c:pt>
                <c:pt idx="12">
                  <c:v>0.10269679999692016</c:v>
                </c:pt>
                <c:pt idx="13">
                  <c:v>0.13162639999791281</c:v>
                </c:pt>
                <c:pt idx="20">
                  <c:v>1.1776000028476119E-3</c:v>
                </c:pt>
                <c:pt idx="21">
                  <c:v>-5.2539999996952247E-2</c:v>
                </c:pt>
                <c:pt idx="24">
                  <c:v>1.6711199998098891E-2</c:v>
                </c:pt>
                <c:pt idx="25">
                  <c:v>7.8184000012697652E-3</c:v>
                </c:pt>
                <c:pt idx="26">
                  <c:v>-0.17150799999944866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8E-4F1C-AF4A-00758A6672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2">
                  <c:v>1.7156000001705252E-2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8E-4F1C-AF4A-00758A6672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8E-4F1C-AF4A-00758A6672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8E-4F1C-AF4A-00758A6672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8E-4F1C-AF4A-00758A6672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8E-4F1C-AF4A-00758A6672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0.14377939146447577</c:v>
                </c:pt>
                <c:pt idx="1">
                  <c:v>0.14150519245506915</c:v>
                </c:pt>
                <c:pt idx="2">
                  <c:v>0.13737572583272556</c:v>
                </c:pt>
                <c:pt idx="3">
                  <c:v>0.13013419740803611</c:v>
                </c:pt>
                <c:pt idx="4">
                  <c:v>0.11702762943277169</c:v>
                </c:pt>
                <c:pt idx="5">
                  <c:v>0.11648900335159644</c:v>
                </c:pt>
                <c:pt idx="6">
                  <c:v>0.11547159853159873</c:v>
                </c:pt>
                <c:pt idx="7">
                  <c:v>0.11529205650454032</c:v>
                </c:pt>
                <c:pt idx="8">
                  <c:v>0.11517236181983471</c:v>
                </c:pt>
                <c:pt idx="9">
                  <c:v>0.11493297245042348</c:v>
                </c:pt>
                <c:pt idx="10">
                  <c:v>0.11475343042336507</c:v>
                </c:pt>
                <c:pt idx="11">
                  <c:v>0.11433449902689542</c:v>
                </c:pt>
                <c:pt idx="12">
                  <c:v>0.10781113871043961</c:v>
                </c:pt>
                <c:pt idx="13">
                  <c:v>0.10290365663750957</c:v>
                </c:pt>
                <c:pt idx="14">
                  <c:v>5.8676470638786254E-2</c:v>
                </c:pt>
                <c:pt idx="15">
                  <c:v>5.508563009761791E-2</c:v>
                </c:pt>
                <c:pt idx="16">
                  <c:v>5.4008377935267415E-2</c:v>
                </c:pt>
                <c:pt idx="17">
                  <c:v>5.2871278430564106E-2</c:v>
                </c:pt>
                <c:pt idx="18">
                  <c:v>5.2751583745858505E-2</c:v>
                </c:pt>
                <c:pt idx="19">
                  <c:v>5.1973568295272027E-2</c:v>
                </c:pt>
                <c:pt idx="20">
                  <c:v>4.7305475591753188E-2</c:v>
                </c:pt>
                <c:pt idx="21">
                  <c:v>-1.7509196176335239E-2</c:v>
                </c:pt>
                <c:pt idx="22">
                  <c:v>-2.1698510141031628E-2</c:v>
                </c:pt>
                <c:pt idx="23">
                  <c:v>-3.5463398882176908E-2</c:v>
                </c:pt>
                <c:pt idx="24">
                  <c:v>-3.5702788251588131E-2</c:v>
                </c:pt>
                <c:pt idx="25">
                  <c:v>-4.013149158569574E-2</c:v>
                </c:pt>
                <c:pt idx="26">
                  <c:v>-5.1322944605670384E-2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8E-4F1C-AF4A-00758A6672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-2995</c:v>
                </c:pt>
                <c:pt idx="1">
                  <c:v>-2957</c:v>
                </c:pt>
                <c:pt idx="2">
                  <c:v>-2888</c:v>
                </c:pt>
                <c:pt idx="3">
                  <c:v>-2767</c:v>
                </c:pt>
                <c:pt idx="4">
                  <c:v>-2548</c:v>
                </c:pt>
                <c:pt idx="5">
                  <c:v>-2539</c:v>
                </c:pt>
                <c:pt idx="6">
                  <c:v>-2522</c:v>
                </c:pt>
                <c:pt idx="7">
                  <c:v>-2519</c:v>
                </c:pt>
                <c:pt idx="8">
                  <c:v>-2517</c:v>
                </c:pt>
                <c:pt idx="9">
                  <c:v>-2513</c:v>
                </c:pt>
                <c:pt idx="10">
                  <c:v>-2510</c:v>
                </c:pt>
                <c:pt idx="11">
                  <c:v>-2503</c:v>
                </c:pt>
                <c:pt idx="12">
                  <c:v>-2394</c:v>
                </c:pt>
                <c:pt idx="13">
                  <c:v>-2312</c:v>
                </c:pt>
                <c:pt idx="14">
                  <c:v>-1573</c:v>
                </c:pt>
                <c:pt idx="15">
                  <c:v>-1513</c:v>
                </c:pt>
                <c:pt idx="16">
                  <c:v>-1495</c:v>
                </c:pt>
                <c:pt idx="17">
                  <c:v>-1476</c:v>
                </c:pt>
                <c:pt idx="18">
                  <c:v>-1474</c:v>
                </c:pt>
                <c:pt idx="19">
                  <c:v>-1461</c:v>
                </c:pt>
                <c:pt idx="20">
                  <c:v>-1383</c:v>
                </c:pt>
                <c:pt idx="21">
                  <c:v>-300</c:v>
                </c:pt>
                <c:pt idx="22">
                  <c:v>-230</c:v>
                </c:pt>
                <c:pt idx="23">
                  <c:v>0</c:v>
                </c:pt>
                <c:pt idx="24">
                  <c:v>4</c:v>
                </c:pt>
                <c:pt idx="25">
                  <c:v>78</c:v>
                </c:pt>
                <c:pt idx="26">
                  <c:v>265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4">
                  <c:v>-1.5654399998311419E-2</c:v>
                </c:pt>
                <c:pt idx="15">
                  <c:v>0.19751360000373097</c:v>
                </c:pt>
                <c:pt idx="16">
                  <c:v>0.13486399999965215</c:v>
                </c:pt>
                <c:pt idx="17">
                  <c:v>-0.18243280000024242</c:v>
                </c:pt>
                <c:pt idx="18">
                  <c:v>0.2422727999946801</c:v>
                </c:pt>
                <c:pt idx="19">
                  <c:v>0.10385919999680482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8E-4F1C-AF4A-00758A667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068832"/>
        <c:axId val="1"/>
      </c:scatterChart>
      <c:valAx>
        <c:axId val="70806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068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7D1528-1934-B057-6D33-F8EB84AFE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9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sfs/BAVM_link.php?BAVMnr=79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I47" sqref="I4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131</v>
      </c>
    </row>
    <row r="2" spans="1:6" x14ac:dyDescent="0.2">
      <c r="A2" t="s">
        <v>117</v>
      </c>
      <c r="B2" t="s">
        <v>132</v>
      </c>
      <c r="C2" s="3"/>
      <c r="D2" s="3"/>
      <c r="E2" s="10" t="s">
        <v>130</v>
      </c>
      <c r="F2" t="s">
        <v>164</v>
      </c>
    </row>
    <row r="3" spans="1:6" ht="13.5" thickBot="1" x14ac:dyDescent="0.25"/>
    <row r="4" spans="1:6" ht="14.25" thickTop="1" thickBot="1" x14ac:dyDescent="0.25">
      <c r="A4" s="5" t="s">
        <v>94</v>
      </c>
      <c r="C4" s="27">
        <v>39001.1348</v>
      </c>
      <c r="D4" s="28">
        <v>9.7665699999999998</v>
      </c>
    </row>
    <row r="5" spans="1:6" ht="13.5" thickTop="1" x14ac:dyDescent="0.2">
      <c r="A5" s="9" t="s">
        <v>122</v>
      </c>
      <c r="B5" s="10"/>
      <c r="C5" s="11">
        <v>-9.5</v>
      </c>
      <c r="D5" s="10" t="s">
        <v>123</v>
      </c>
    </row>
    <row r="6" spans="1:6" x14ac:dyDescent="0.2">
      <c r="A6" s="5" t="s">
        <v>95</v>
      </c>
    </row>
    <row r="7" spans="1:6" x14ac:dyDescent="0.2">
      <c r="A7" t="s">
        <v>96</v>
      </c>
      <c r="C7" s="50">
        <v>52508.4067</v>
      </c>
      <c r="D7" s="29" t="s">
        <v>133</v>
      </c>
    </row>
    <row r="8" spans="1:6" x14ac:dyDescent="0.2">
      <c r="A8" t="s">
        <v>97</v>
      </c>
      <c r="C8" s="50">
        <v>9.7666471999999995</v>
      </c>
      <c r="D8" s="29" t="s">
        <v>133</v>
      </c>
    </row>
    <row r="9" spans="1:6" x14ac:dyDescent="0.2">
      <c r="A9" s="24" t="s">
        <v>126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113</v>
      </c>
      <c r="D10" s="4" t="s">
        <v>114</v>
      </c>
      <c r="E10" s="10"/>
    </row>
    <row r="11" spans="1:6" x14ac:dyDescent="0.2">
      <c r="A11" s="10" t="s">
        <v>109</v>
      </c>
      <c r="B11" s="10"/>
      <c r="C11" s="21">
        <f ca="1">INTERCEPT(INDIRECT($D$9):G992,INDIRECT($C$9):F992)</f>
        <v>-3.5463398882176908E-2</v>
      </c>
      <c r="D11" s="3"/>
      <c r="E11" s="10"/>
    </row>
    <row r="12" spans="1:6" x14ac:dyDescent="0.2">
      <c r="A12" s="10" t="s">
        <v>110</v>
      </c>
      <c r="B12" s="10"/>
      <c r="C12" s="21">
        <f ca="1">SLOPE(INDIRECT($D$9):G992,INDIRECT($C$9):F992)</f>
        <v>-5.9847342352805567E-5</v>
      </c>
      <c r="D12" s="3"/>
      <c r="E12" s="10"/>
    </row>
    <row r="13" spans="1:6" x14ac:dyDescent="0.2">
      <c r="A13" s="10" t="s">
        <v>112</v>
      </c>
      <c r="B13" s="10"/>
      <c r="C13" s="3" t="s">
        <v>107</v>
      </c>
    </row>
    <row r="14" spans="1:6" x14ac:dyDescent="0.2">
      <c r="A14" s="10"/>
      <c r="B14" s="10"/>
      <c r="C14" s="10"/>
    </row>
    <row r="15" spans="1:6" x14ac:dyDescent="0.2">
      <c r="A15" s="12" t="s">
        <v>111</v>
      </c>
      <c r="B15" s="10"/>
      <c r="C15" s="13">
        <f ca="1">(C7+C11)+(C8+C12)*INT(MAX(F21:F3533))</f>
        <v>55096.516885055396</v>
      </c>
      <c r="E15" s="14" t="s">
        <v>127</v>
      </c>
      <c r="F15" s="11">
        <v>1</v>
      </c>
    </row>
    <row r="16" spans="1:6" x14ac:dyDescent="0.2">
      <c r="A16" s="16" t="s">
        <v>98</v>
      </c>
      <c r="B16" s="10"/>
      <c r="C16" s="17">
        <f ca="1">+C8+C12</f>
        <v>9.7665873526576465</v>
      </c>
      <c r="E16" s="14" t="s">
        <v>124</v>
      </c>
      <c r="F16" s="15">
        <f ca="1">NOW()+15018.5+$C$5/24</f>
        <v>60352.734400347217</v>
      </c>
    </row>
    <row r="17" spans="1:21" ht="13.5" thickBot="1" x14ac:dyDescent="0.25">
      <c r="A17" s="14" t="s">
        <v>121</v>
      </c>
      <c r="B17" s="10"/>
      <c r="C17" s="10">
        <f>COUNT(C21:C2191)</f>
        <v>27</v>
      </c>
      <c r="E17" s="14" t="s">
        <v>128</v>
      </c>
      <c r="F17" s="15">
        <f ca="1">ROUND(2*(F16-$C$7)/$C$8,0)/2+F15</f>
        <v>804</v>
      </c>
    </row>
    <row r="18" spans="1:21" ht="14.25" thickTop="1" thickBot="1" x14ac:dyDescent="0.25">
      <c r="A18" s="16" t="s">
        <v>99</v>
      </c>
      <c r="B18" s="10"/>
      <c r="C18" s="19">
        <f ca="1">+C15</f>
        <v>55096.516885055396</v>
      </c>
      <c r="D18" s="20">
        <f ca="1">+C16</f>
        <v>9.7665873526576465</v>
      </c>
      <c r="E18" s="14" t="s">
        <v>129</v>
      </c>
      <c r="F18" s="23">
        <f ca="1">ROUND(2*(F16-$C$15)/$C$16,0)/2+F15</f>
        <v>539</v>
      </c>
    </row>
    <row r="19" spans="1:21" ht="13.5" thickTop="1" x14ac:dyDescent="0.2">
      <c r="E19" s="14" t="s">
        <v>125</v>
      </c>
      <c r="F19" s="18">
        <f ca="1">+$C$15+$C$16*F18-15018.5-$C$5/24</f>
        <v>45342.603301471201</v>
      </c>
    </row>
    <row r="20" spans="1:21" ht="13.5" thickBot="1" x14ac:dyDescent="0.25">
      <c r="A20" s="4" t="s">
        <v>100</v>
      </c>
      <c r="B20" s="4" t="s">
        <v>101</v>
      </c>
      <c r="C20" s="4" t="s">
        <v>102</v>
      </c>
      <c r="D20" s="4" t="s">
        <v>106</v>
      </c>
      <c r="E20" s="4" t="s">
        <v>103</v>
      </c>
      <c r="F20" s="4" t="s">
        <v>104</v>
      </c>
      <c r="G20" s="4" t="s">
        <v>105</v>
      </c>
      <c r="H20" s="7" t="s">
        <v>143</v>
      </c>
      <c r="I20" s="7" t="s">
        <v>146</v>
      </c>
      <c r="J20" s="7" t="s">
        <v>140</v>
      </c>
      <c r="K20" s="7" t="s">
        <v>138</v>
      </c>
      <c r="L20" s="7" t="s">
        <v>118</v>
      </c>
      <c r="M20" s="7" t="s">
        <v>119</v>
      </c>
      <c r="N20" s="7" t="s">
        <v>120</v>
      </c>
      <c r="O20" s="7" t="s">
        <v>116</v>
      </c>
      <c r="P20" s="6" t="s">
        <v>115</v>
      </c>
      <c r="Q20" s="4" t="s">
        <v>108</v>
      </c>
      <c r="U20" s="26" t="s">
        <v>93</v>
      </c>
    </row>
    <row r="21" spans="1:21" x14ac:dyDescent="0.2">
      <c r="A21" s="46" t="s">
        <v>5</v>
      </c>
      <c r="B21" s="46" t="s">
        <v>135</v>
      </c>
      <c r="C21" s="47">
        <v>23257.42</v>
      </c>
      <c r="D21" s="47" t="s">
        <v>146</v>
      </c>
      <c r="E21">
        <f t="shared" ref="E21:E47" si="0">+(C21-C$7)/C$8</f>
        <v>-2994.9875429103249</v>
      </c>
      <c r="F21">
        <f t="shared" ref="F21:F47" si="1">ROUND(2*E21,0)/2</f>
        <v>-2995</v>
      </c>
      <c r="G21">
        <f t="shared" ref="G21:G34" si="2">+C21-(C$7+F21*C$8)</f>
        <v>0.12166399999841815</v>
      </c>
      <c r="I21">
        <f>+G21</f>
        <v>0.12166399999841815</v>
      </c>
      <c r="O21">
        <f t="shared" ref="O21:O47" ca="1" si="3">+C$11+C$12*$F21</f>
        <v>0.14377939146447577</v>
      </c>
      <c r="Q21" s="2">
        <f t="shared" ref="Q21:Q47" si="4">+C21-15018.5</f>
        <v>8238.9199999999983</v>
      </c>
    </row>
    <row r="22" spans="1:21" x14ac:dyDescent="0.2">
      <c r="A22" s="46" t="s">
        <v>5</v>
      </c>
      <c r="B22" s="46" t="s">
        <v>135</v>
      </c>
      <c r="C22" s="47">
        <v>23628.559000000001</v>
      </c>
      <c r="D22" s="47" t="s">
        <v>146</v>
      </c>
      <c r="E22">
        <f t="shared" si="0"/>
        <v>-2956.9868869636243</v>
      </c>
      <c r="F22">
        <f t="shared" si="1"/>
        <v>-2957</v>
      </c>
      <c r="G22">
        <f t="shared" si="2"/>
        <v>0.12807040000188863</v>
      </c>
      <c r="I22">
        <f>+G22</f>
        <v>0.12807040000188863</v>
      </c>
      <c r="O22">
        <f t="shared" ca="1" si="3"/>
        <v>0.14150519245506915</v>
      </c>
      <c r="Q22" s="2">
        <f t="shared" si="4"/>
        <v>8610.0590000000011</v>
      </c>
    </row>
    <row r="23" spans="1:21" x14ac:dyDescent="0.2">
      <c r="A23" s="46" t="s">
        <v>10</v>
      </c>
      <c r="B23" s="46" t="s">
        <v>135</v>
      </c>
      <c r="C23" s="47">
        <v>24302.448</v>
      </c>
      <c r="D23" s="47" t="s">
        <v>146</v>
      </c>
      <c r="E23">
        <f t="shared" si="0"/>
        <v>-2887.9878757164488</v>
      </c>
      <c r="F23">
        <f t="shared" si="1"/>
        <v>-2888</v>
      </c>
      <c r="G23">
        <f t="shared" si="2"/>
        <v>0.1184136000010767</v>
      </c>
      <c r="I23">
        <f>+G23</f>
        <v>0.1184136000010767</v>
      </c>
      <c r="O23">
        <f t="shared" ca="1" si="3"/>
        <v>0.13737572583272556</v>
      </c>
      <c r="Q23" s="2">
        <f t="shared" si="4"/>
        <v>9283.9480000000003</v>
      </c>
    </row>
    <row r="24" spans="1:21" x14ac:dyDescent="0.2">
      <c r="A24" s="46" t="s">
        <v>150</v>
      </c>
      <c r="B24" s="46" t="s">
        <v>135</v>
      </c>
      <c r="C24" s="47">
        <v>25484.22</v>
      </c>
      <c r="D24" s="47" t="s">
        <v>146</v>
      </c>
      <c r="E24">
        <f t="shared" si="0"/>
        <v>-2766.9870884657325</v>
      </c>
      <c r="F24">
        <f t="shared" si="1"/>
        <v>-2767</v>
      </c>
      <c r="G24">
        <f t="shared" si="2"/>
        <v>0.12610240000140038</v>
      </c>
      <c r="I24">
        <f>+G24</f>
        <v>0.12610240000140038</v>
      </c>
      <c r="O24">
        <f t="shared" ca="1" si="3"/>
        <v>0.13013419740803611</v>
      </c>
      <c r="Q24" s="2">
        <f t="shared" si="4"/>
        <v>10465.720000000001</v>
      </c>
    </row>
    <row r="25" spans="1:21" x14ac:dyDescent="0.2">
      <c r="A25" s="46" t="s">
        <v>18</v>
      </c>
      <c r="B25" s="46" t="s">
        <v>135</v>
      </c>
      <c r="C25" s="47">
        <v>27623.116000000002</v>
      </c>
      <c r="D25" s="47" t="s">
        <v>146</v>
      </c>
      <c r="E25">
        <f t="shared" si="0"/>
        <v>-2547.9870615168734</v>
      </c>
      <c r="F25">
        <f t="shared" si="1"/>
        <v>-2548</v>
      </c>
      <c r="G25">
        <f t="shared" si="2"/>
        <v>0.12636560000100872</v>
      </c>
      <c r="I25">
        <f>+G25</f>
        <v>0.12636560000100872</v>
      </c>
      <c r="O25">
        <f t="shared" ca="1" si="3"/>
        <v>0.11702762943277169</v>
      </c>
      <c r="Q25" s="2">
        <f t="shared" si="4"/>
        <v>12604.616000000002</v>
      </c>
    </row>
    <row r="26" spans="1:21" x14ac:dyDescent="0.2">
      <c r="A26" s="46" t="s">
        <v>18</v>
      </c>
      <c r="B26" s="46" t="s">
        <v>135</v>
      </c>
      <c r="C26" s="47">
        <v>27711.005000000001</v>
      </c>
      <c r="D26" s="47" t="s">
        <v>146</v>
      </c>
      <c r="E26">
        <f t="shared" si="0"/>
        <v>-2538.9881698603795</v>
      </c>
      <c r="F26">
        <f t="shared" si="1"/>
        <v>-2539</v>
      </c>
      <c r="G26">
        <f t="shared" si="2"/>
        <v>0.11554080000132672</v>
      </c>
      <c r="I26">
        <f>+G26</f>
        <v>0.11554080000132672</v>
      </c>
      <c r="O26">
        <f t="shared" ca="1" si="3"/>
        <v>0.11648900335159644</v>
      </c>
      <c r="Q26" s="2">
        <f t="shared" si="4"/>
        <v>12692.505000000001</v>
      </c>
    </row>
    <row r="27" spans="1:21" x14ac:dyDescent="0.2">
      <c r="A27" s="46" t="s">
        <v>18</v>
      </c>
      <c r="B27" s="46" t="s">
        <v>135</v>
      </c>
      <c r="C27" s="47">
        <v>27877.050999999999</v>
      </c>
      <c r="D27" s="47" t="s">
        <v>146</v>
      </c>
      <c r="E27">
        <f t="shared" si="0"/>
        <v>-2521.9868390454403</v>
      </c>
      <c r="F27">
        <f t="shared" si="1"/>
        <v>-2522</v>
      </c>
      <c r="G27">
        <f t="shared" si="2"/>
        <v>0.1285384000002523</v>
      </c>
      <c r="I27">
        <f>+G27</f>
        <v>0.1285384000002523</v>
      </c>
      <c r="O27">
        <f t="shared" ca="1" si="3"/>
        <v>0.11547159853159873</v>
      </c>
      <c r="Q27" s="2">
        <f t="shared" si="4"/>
        <v>12858.550999999999</v>
      </c>
    </row>
    <row r="28" spans="1:21" x14ac:dyDescent="0.2">
      <c r="A28" s="46" t="s">
        <v>18</v>
      </c>
      <c r="B28" s="46" t="s">
        <v>135</v>
      </c>
      <c r="C28" s="47">
        <v>27906.352999999999</v>
      </c>
      <c r="D28" s="47" t="s">
        <v>146</v>
      </c>
      <c r="E28">
        <f t="shared" si="0"/>
        <v>-2518.9866282873413</v>
      </c>
      <c r="F28">
        <f t="shared" si="1"/>
        <v>-2519</v>
      </c>
      <c r="G28">
        <f t="shared" si="2"/>
        <v>0.13059679999787477</v>
      </c>
      <c r="I28">
        <f>+G28</f>
        <v>0.13059679999787477</v>
      </c>
      <c r="O28">
        <f t="shared" ca="1" si="3"/>
        <v>0.11529205650454032</v>
      </c>
      <c r="Q28" s="2">
        <f t="shared" si="4"/>
        <v>12887.852999999999</v>
      </c>
    </row>
    <row r="29" spans="1:21" x14ac:dyDescent="0.2">
      <c r="A29" s="46" t="s">
        <v>18</v>
      </c>
      <c r="B29" s="46" t="s">
        <v>135</v>
      </c>
      <c r="C29" s="47">
        <v>27925.866999999998</v>
      </c>
      <c r="D29" s="47" t="s">
        <v>146</v>
      </c>
      <c r="E29">
        <f t="shared" si="0"/>
        <v>-2516.9886038271152</v>
      </c>
      <c r="F29">
        <f t="shared" si="1"/>
        <v>-2517</v>
      </c>
      <c r="G29">
        <f t="shared" si="2"/>
        <v>0.11130239999693003</v>
      </c>
      <c r="I29">
        <f>+G29</f>
        <v>0.11130239999693003</v>
      </c>
      <c r="O29">
        <f t="shared" ca="1" si="3"/>
        <v>0.11517236181983471</v>
      </c>
      <c r="Q29" s="2">
        <f t="shared" si="4"/>
        <v>12907.366999999998</v>
      </c>
    </row>
    <row r="30" spans="1:21" x14ac:dyDescent="0.2">
      <c r="A30" s="46" t="s">
        <v>18</v>
      </c>
      <c r="B30" s="46" t="s">
        <v>135</v>
      </c>
      <c r="C30" s="47">
        <v>27964.94</v>
      </c>
      <c r="D30" s="47" t="s">
        <v>146</v>
      </c>
      <c r="E30">
        <f t="shared" si="0"/>
        <v>-2512.9879473889464</v>
      </c>
      <c r="F30">
        <f t="shared" si="1"/>
        <v>-2513</v>
      </c>
      <c r="G30">
        <f t="shared" si="2"/>
        <v>0.11771359999693232</v>
      </c>
      <c r="I30">
        <f>+G30</f>
        <v>0.11771359999693232</v>
      </c>
      <c r="O30">
        <f t="shared" ca="1" si="3"/>
        <v>0.11493297245042348</v>
      </c>
      <c r="Q30" s="2">
        <f t="shared" si="4"/>
        <v>12946.439999999999</v>
      </c>
    </row>
    <row r="31" spans="1:21" x14ac:dyDescent="0.2">
      <c r="A31" s="46" t="s">
        <v>18</v>
      </c>
      <c r="B31" s="46" t="s">
        <v>135</v>
      </c>
      <c r="C31" s="47">
        <v>27994.258999999998</v>
      </c>
      <c r="D31" s="47" t="s">
        <v>146</v>
      </c>
      <c r="E31">
        <f t="shared" si="0"/>
        <v>-2509.9859960130434</v>
      </c>
      <c r="F31">
        <f t="shared" si="1"/>
        <v>-2510</v>
      </c>
      <c r="G31">
        <f t="shared" si="2"/>
        <v>0.13677199999801815</v>
      </c>
      <c r="I31">
        <f>+G31</f>
        <v>0.13677199999801815</v>
      </c>
      <c r="O31">
        <f t="shared" ca="1" si="3"/>
        <v>0.11475343042336507</v>
      </c>
      <c r="Q31" s="2">
        <f t="shared" si="4"/>
        <v>12975.758999999998</v>
      </c>
    </row>
    <row r="32" spans="1:21" x14ac:dyDescent="0.2">
      <c r="A32" s="46" t="s">
        <v>18</v>
      </c>
      <c r="B32" s="46" t="s">
        <v>135</v>
      </c>
      <c r="C32" s="47">
        <v>28062.607</v>
      </c>
      <c r="D32" s="47" t="s">
        <v>146</v>
      </c>
      <c r="E32">
        <f t="shared" si="0"/>
        <v>-2502.9878933274053</v>
      </c>
      <c r="F32">
        <f t="shared" si="1"/>
        <v>-2503</v>
      </c>
      <c r="G32">
        <f t="shared" si="2"/>
        <v>0.11824160000105621</v>
      </c>
      <c r="I32">
        <f>+G32</f>
        <v>0.11824160000105621</v>
      </c>
      <c r="O32">
        <f t="shared" ca="1" si="3"/>
        <v>0.11433449902689542</v>
      </c>
      <c r="Q32" s="2">
        <f t="shared" si="4"/>
        <v>13044.107</v>
      </c>
    </row>
    <row r="33" spans="1:21" x14ac:dyDescent="0.2">
      <c r="A33" s="46" t="s">
        <v>42</v>
      </c>
      <c r="B33" s="46" t="s">
        <v>135</v>
      </c>
      <c r="C33" s="47">
        <v>29127.155999999999</v>
      </c>
      <c r="D33" s="47" t="s">
        <v>146</v>
      </c>
      <c r="E33">
        <f t="shared" si="0"/>
        <v>-2393.9894849483253</v>
      </c>
      <c r="F33">
        <f t="shared" si="1"/>
        <v>-2394</v>
      </c>
      <c r="G33">
        <f t="shared" si="2"/>
        <v>0.10269679999692016</v>
      </c>
      <c r="I33">
        <f>+G33</f>
        <v>0.10269679999692016</v>
      </c>
      <c r="O33">
        <f t="shared" ca="1" si="3"/>
        <v>0.10781113871043961</v>
      </c>
      <c r="Q33" s="2">
        <f t="shared" si="4"/>
        <v>14108.655999999999</v>
      </c>
    </row>
    <row r="34" spans="1:21" x14ac:dyDescent="0.2">
      <c r="A34" s="46" t="s">
        <v>155</v>
      </c>
      <c r="B34" s="46" t="s">
        <v>135</v>
      </c>
      <c r="C34" s="47">
        <v>29928.05</v>
      </c>
      <c r="D34" s="47" t="s">
        <v>146</v>
      </c>
      <c r="E34">
        <f t="shared" si="0"/>
        <v>-2311.9865228673357</v>
      </c>
      <c r="F34">
        <f t="shared" si="1"/>
        <v>-2312</v>
      </c>
      <c r="G34">
        <f t="shared" si="2"/>
        <v>0.13162639999791281</v>
      </c>
      <c r="I34">
        <f>+G34</f>
        <v>0.13162639999791281</v>
      </c>
      <c r="O34">
        <f t="shared" ca="1" si="3"/>
        <v>0.10290365663750957</v>
      </c>
      <c r="Q34" s="2">
        <f t="shared" si="4"/>
        <v>14909.55</v>
      </c>
    </row>
    <row r="35" spans="1:21" x14ac:dyDescent="0.2">
      <c r="A35" s="46" t="s">
        <v>50</v>
      </c>
      <c r="B35" s="46" t="s">
        <v>135</v>
      </c>
      <c r="C35" s="47">
        <v>37145.455000000002</v>
      </c>
      <c r="D35" s="47" t="s">
        <v>146</v>
      </c>
      <c r="E35">
        <f t="shared" si="0"/>
        <v>-1573.0016028427851</v>
      </c>
      <c r="F35">
        <f t="shared" si="1"/>
        <v>-1573</v>
      </c>
      <c r="O35">
        <f t="shared" ca="1" si="3"/>
        <v>5.8676470638786254E-2</v>
      </c>
      <c r="Q35" s="2">
        <f t="shared" si="4"/>
        <v>22126.955000000002</v>
      </c>
      <c r="U35">
        <f t="shared" ref="U35:U40" si="5">+C35-(C$7+F35*C$8)</f>
        <v>-1.5654399998311419E-2</v>
      </c>
    </row>
    <row r="36" spans="1:21" x14ac:dyDescent="0.2">
      <c r="A36" s="46" t="s">
        <v>50</v>
      </c>
      <c r="B36" s="46" t="s">
        <v>135</v>
      </c>
      <c r="C36" s="47">
        <v>37731.667000000001</v>
      </c>
      <c r="D36" s="47" t="s">
        <v>146</v>
      </c>
      <c r="E36">
        <f t="shared" si="0"/>
        <v>-1512.9797767241964</v>
      </c>
      <c r="F36">
        <f t="shared" si="1"/>
        <v>-1513</v>
      </c>
      <c r="O36">
        <f t="shared" ca="1" si="3"/>
        <v>5.508563009761791E-2</v>
      </c>
      <c r="Q36" s="2">
        <f t="shared" si="4"/>
        <v>22713.167000000001</v>
      </c>
      <c r="U36">
        <f t="shared" si="5"/>
        <v>0.19751360000373097</v>
      </c>
    </row>
    <row r="37" spans="1:21" x14ac:dyDescent="0.2">
      <c r="A37" s="46" t="s">
        <v>50</v>
      </c>
      <c r="B37" s="46" t="s">
        <v>135</v>
      </c>
      <c r="C37" s="47">
        <v>37907.404000000002</v>
      </c>
      <c r="D37" s="47" t="s">
        <v>146</v>
      </c>
      <c r="E37">
        <f t="shared" si="0"/>
        <v>-1494.9861913717941</v>
      </c>
      <c r="F37">
        <f t="shared" si="1"/>
        <v>-1495</v>
      </c>
      <c r="O37">
        <f t="shared" ca="1" si="3"/>
        <v>5.4008377935267415E-2</v>
      </c>
      <c r="Q37" s="2">
        <f t="shared" si="4"/>
        <v>22888.904000000002</v>
      </c>
      <c r="U37">
        <f t="shared" si="5"/>
        <v>0.13486399999965215</v>
      </c>
    </row>
    <row r="38" spans="1:21" x14ac:dyDescent="0.2">
      <c r="A38" s="46" t="s">
        <v>50</v>
      </c>
      <c r="B38" s="46" t="s">
        <v>135</v>
      </c>
      <c r="C38" s="47">
        <v>38092.652999999998</v>
      </c>
      <c r="D38" s="47" t="s">
        <v>146</v>
      </c>
      <c r="E38">
        <f t="shared" si="0"/>
        <v>-1476.0186791635108</v>
      </c>
      <c r="F38">
        <f t="shared" si="1"/>
        <v>-1476</v>
      </c>
      <c r="O38">
        <f t="shared" ca="1" si="3"/>
        <v>5.2871278430564106E-2</v>
      </c>
      <c r="Q38" s="2">
        <f t="shared" si="4"/>
        <v>23074.152999999998</v>
      </c>
      <c r="U38">
        <f t="shared" si="5"/>
        <v>-0.18243280000024242</v>
      </c>
    </row>
    <row r="39" spans="1:21" x14ac:dyDescent="0.2">
      <c r="A39" s="46" t="s">
        <v>50</v>
      </c>
      <c r="B39" s="46" t="s">
        <v>135</v>
      </c>
      <c r="C39" s="47">
        <v>38112.610999999997</v>
      </c>
      <c r="D39" s="47" t="s">
        <v>146</v>
      </c>
      <c r="E39">
        <f t="shared" si="0"/>
        <v>-1473.9751938618201</v>
      </c>
      <c r="F39">
        <f t="shared" si="1"/>
        <v>-1474</v>
      </c>
      <c r="O39">
        <f t="shared" ca="1" si="3"/>
        <v>5.2751583745858505E-2</v>
      </c>
      <c r="Q39" s="2">
        <f t="shared" si="4"/>
        <v>23094.110999999997</v>
      </c>
      <c r="U39">
        <f t="shared" si="5"/>
        <v>0.2422727999946801</v>
      </c>
    </row>
    <row r="40" spans="1:21" x14ac:dyDescent="0.2">
      <c r="A40" s="46" t="s">
        <v>50</v>
      </c>
      <c r="B40" s="46" t="s">
        <v>135</v>
      </c>
      <c r="C40" s="47">
        <v>38239.438999999998</v>
      </c>
      <c r="D40" s="47" t="s">
        <v>146</v>
      </c>
      <c r="E40">
        <f t="shared" si="0"/>
        <v>-1460.989365931023</v>
      </c>
      <c r="F40">
        <f t="shared" si="1"/>
        <v>-1461</v>
      </c>
      <c r="O40">
        <f t="shared" ca="1" si="3"/>
        <v>5.1973568295272027E-2</v>
      </c>
      <c r="Q40" s="2">
        <f t="shared" si="4"/>
        <v>23220.938999999998</v>
      </c>
      <c r="U40">
        <f t="shared" si="5"/>
        <v>0.10385919999680482</v>
      </c>
    </row>
    <row r="41" spans="1:21" x14ac:dyDescent="0.2">
      <c r="A41" s="46" t="s">
        <v>70</v>
      </c>
      <c r="B41" s="46" t="s">
        <v>135</v>
      </c>
      <c r="C41" s="47">
        <v>39001.1348</v>
      </c>
      <c r="D41" s="47" t="s">
        <v>146</v>
      </c>
      <c r="E41">
        <f t="shared" si="0"/>
        <v>-1382.9998794263809</v>
      </c>
      <c r="F41">
        <f t="shared" si="1"/>
        <v>-1383</v>
      </c>
      <c r="G41">
        <f t="shared" ref="G41:G47" si="6">+C41-(C$7+F41*C$8)</f>
        <v>1.1776000028476119E-3</v>
      </c>
      <c r="I41">
        <f>+G41</f>
        <v>1.1776000028476119E-3</v>
      </c>
      <c r="O41">
        <f t="shared" ca="1" si="3"/>
        <v>4.7305475591753188E-2</v>
      </c>
      <c r="Q41" s="2">
        <f t="shared" si="4"/>
        <v>23982.6348</v>
      </c>
    </row>
    <row r="42" spans="1:21" x14ac:dyDescent="0.2">
      <c r="A42" s="46" t="s">
        <v>75</v>
      </c>
      <c r="B42" s="46" t="s">
        <v>135</v>
      </c>
      <c r="C42" s="47">
        <v>49578.36</v>
      </c>
      <c r="D42" s="47" t="s">
        <v>146</v>
      </c>
      <c r="E42">
        <f t="shared" si="0"/>
        <v>-300.00537953290655</v>
      </c>
      <c r="F42">
        <f t="shared" si="1"/>
        <v>-300</v>
      </c>
      <c r="G42">
        <f t="shared" si="6"/>
        <v>-5.2539999996952247E-2</v>
      </c>
      <c r="I42">
        <f>+G42</f>
        <v>-5.2539999996952247E-2</v>
      </c>
      <c r="O42">
        <f t="shared" ca="1" si="3"/>
        <v>-1.7509196176335239E-2</v>
      </c>
      <c r="Q42" s="2">
        <f t="shared" si="4"/>
        <v>34559.86</v>
      </c>
    </row>
    <row r="43" spans="1:21" x14ac:dyDescent="0.2">
      <c r="A43" s="30" t="s">
        <v>134</v>
      </c>
      <c r="B43" s="31" t="s">
        <v>135</v>
      </c>
      <c r="C43" s="32">
        <v>50262.095000000001</v>
      </c>
      <c r="D43" s="8"/>
      <c r="E43">
        <f t="shared" si="0"/>
        <v>-229.99824340946793</v>
      </c>
      <c r="F43">
        <f t="shared" si="1"/>
        <v>-230</v>
      </c>
      <c r="G43">
        <f t="shared" si="6"/>
        <v>1.7156000001705252E-2</v>
      </c>
      <c r="J43">
        <f>+G43</f>
        <v>1.7156000001705252E-2</v>
      </c>
      <c r="O43">
        <f t="shared" ca="1" si="3"/>
        <v>-2.1698510141031628E-2</v>
      </c>
      <c r="Q43" s="2">
        <f t="shared" si="4"/>
        <v>35243.595000000001</v>
      </c>
    </row>
    <row r="44" spans="1:21" x14ac:dyDescent="0.2">
      <c r="A44" s="48" t="s">
        <v>92</v>
      </c>
      <c r="B44" s="46"/>
      <c r="C44" s="49">
        <v>52508.4067</v>
      </c>
      <c r="D44" s="47"/>
      <c r="E44">
        <f t="shared" si="0"/>
        <v>0</v>
      </c>
      <c r="F44">
        <f t="shared" si="1"/>
        <v>0</v>
      </c>
      <c r="G44">
        <f t="shared" si="6"/>
        <v>0</v>
      </c>
      <c r="K44">
        <f>+G44</f>
        <v>0</v>
      </c>
      <c r="O44">
        <f t="shared" ca="1" si="3"/>
        <v>-3.5463398882176908E-2</v>
      </c>
      <c r="Q44" s="2">
        <f t="shared" si="4"/>
        <v>37489.9067</v>
      </c>
    </row>
    <row r="45" spans="1:21" x14ac:dyDescent="0.2">
      <c r="A45" s="46" t="s">
        <v>83</v>
      </c>
      <c r="B45" s="46" t="s">
        <v>135</v>
      </c>
      <c r="C45" s="47">
        <v>52547.49</v>
      </c>
      <c r="D45" s="47" t="s">
        <v>146</v>
      </c>
      <c r="E45">
        <f t="shared" si="0"/>
        <v>4.0017110477788549</v>
      </c>
      <c r="F45">
        <f t="shared" si="1"/>
        <v>4</v>
      </c>
      <c r="G45">
        <f t="shared" si="6"/>
        <v>1.6711199998098891E-2</v>
      </c>
      <c r="I45">
        <f>+G45</f>
        <v>1.6711199998098891E-2</v>
      </c>
      <c r="O45">
        <f t="shared" ca="1" si="3"/>
        <v>-3.5702788251588131E-2</v>
      </c>
      <c r="Q45" s="2">
        <f t="shared" si="4"/>
        <v>37528.99</v>
      </c>
    </row>
    <row r="46" spans="1:21" x14ac:dyDescent="0.2">
      <c r="A46" s="46" t="s">
        <v>0</v>
      </c>
      <c r="B46" s="46" t="s">
        <v>135</v>
      </c>
      <c r="C46" s="47">
        <v>53270.213000000003</v>
      </c>
      <c r="D46" s="47" t="s">
        <v>146</v>
      </c>
      <c r="E46">
        <f t="shared" si="0"/>
        <v>78.000800520367306</v>
      </c>
      <c r="F46">
        <f t="shared" si="1"/>
        <v>78</v>
      </c>
      <c r="G46">
        <f t="shared" si="6"/>
        <v>7.8184000012697652E-3</v>
      </c>
      <c r="I46">
        <f>+G46</f>
        <v>7.8184000012697652E-3</v>
      </c>
      <c r="O46">
        <f t="shared" ca="1" si="3"/>
        <v>-4.013149158569574E-2</v>
      </c>
      <c r="Q46" s="2">
        <f t="shared" si="4"/>
        <v>38251.713000000003</v>
      </c>
    </row>
    <row r="47" spans="1:21" x14ac:dyDescent="0.2">
      <c r="A47" s="46" t="s">
        <v>91</v>
      </c>
      <c r="B47" s="46" t="s">
        <v>135</v>
      </c>
      <c r="C47" s="47">
        <v>55096.396699999998</v>
      </c>
      <c r="D47" s="47" t="s">
        <v>146</v>
      </c>
      <c r="E47">
        <f t="shared" si="0"/>
        <v>264.98243941892343</v>
      </c>
      <c r="F47">
        <f t="shared" si="1"/>
        <v>265</v>
      </c>
      <c r="G47">
        <f t="shared" si="6"/>
        <v>-0.17150799999944866</v>
      </c>
      <c r="I47">
        <f>+G47</f>
        <v>-0.17150799999944866</v>
      </c>
      <c r="O47">
        <f t="shared" ca="1" si="3"/>
        <v>-5.1322944605670384E-2</v>
      </c>
      <c r="Q47" s="2">
        <f t="shared" si="4"/>
        <v>40077.896699999998</v>
      </c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workbookViewId="0">
      <selection activeCell="A12" sqref="A12:D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3" t="s">
        <v>136</v>
      </c>
      <c r="I1" s="34" t="s">
        <v>137</v>
      </c>
      <c r="J1" s="35" t="s">
        <v>138</v>
      </c>
    </row>
    <row r="2" spans="1:16" x14ac:dyDescent="0.2">
      <c r="I2" s="36" t="s">
        <v>139</v>
      </c>
      <c r="J2" s="37" t="s">
        <v>140</v>
      </c>
    </row>
    <row r="3" spans="1:16" x14ac:dyDescent="0.2">
      <c r="A3" s="38" t="s">
        <v>141</v>
      </c>
      <c r="I3" s="36" t="s">
        <v>142</v>
      </c>
      <c r="J3" s="37" t="s">
        <v>143</v>
      </c>
    </row>
    <row r="4" spans="1:16" x14ac:dyDescent="0.2">
      <c r="I4" s="36" t="s">
        <v>144</v>
      </c>
      <c r="J4" s="37" t="s">
        <v>143</v>
      </c>
    </row>
    <row r="5" spans="1:16" ht="13.5" thickBot="1" x14ac:dyDescent="0.25">
      <c r="I5" s="39" t="s">
        <v>145</v>
      </c>
      <c r="J5" s="40" t="s">
        <v>146</v>
      </c>
    </row>
    <row r="10" spans="1:16" ht="13.5" thickBot="1" x14ac:dyDescent="0.25"/>
    <row r="11" spans="1:16" ht="12.75" customHeight="1" thickBot="1" x14ac:dyDescent="0.25">
      <c r="A11" s="8" t="str">
        <f t="shared" ref="A11:A36" si="0">P11</f>
        <v> JAAVSO 41;122 </v>
      </c>
      <c r="B11" s="3" t="str">
        <f t="shared" ref="B11:B36" si="1">IF(H11=INT(H11),"I","II")</f>
        <v>I</v>
      </c>
      <c r="C11" s="8">
        <f t="shared" ref="C11:C36" si="2">1*G11</f>
        <v>50262.095000000001</v>
      </c>
      <c r="D11" s="10" t="str">
        <f t="shared" ref="D11:D36" si="3">VLOOKUP(F11,I$1:J$5,2,FALSE)</f>
        <v>vis</v>
      </c>
      <c r="E11" s="41">
        <f>VLOOKUP(C11,Active!C$21:E$973,3,FALSE)</f>
        <v>-229.99824340946793</v>
      </c>
      <c r="F11" s="3" t="s">
        <v>145</v>
      </c>
      <c r="G11" s="10" t="str">
        <f t="shared" ref="G11:G36" si="4">MID(I11,3,LEN(I11)-3)</f>
        <v>50262.095</v>
      </c>
      <c r="H11" s="8">
        <f t="shared" ref="H11:H36" si="5">1*K11</f>
        <v>1153</v>
      </c>
      <c r="I11" s="42" t="s">
        <v>76</v>
      </c>
      <c r="J11" s="43" t="s">
        <v>77</v>
      </c>
      <c r="K11" s="42">
        <v>1153</v>
      </c>
      <c r="L11" s="42" t="s">
        <v>78</v>
      </c>
      <c r="M11" s="43" t="s">
        <v>148</v>
      </c>
      <c r="N11" s="43"/>
      <c r="O11" s="44" t="s">
        <v>79</v>
      </c>
      <c r="P11" s="44" t="s">
        <v>1</v>
      </c>
    </row>
    <row r="12" spans="1:16" ht="12.75" customHeight="1" thickBot="1" x14ac:dyDescent="0.25">
      <c r="A12" s="8" t="str">
        <f t="shared" si="0"/>
        <v> AN 221.318 </v>
      </c>
      <c r="B12" s="3" t="str">
        <f t="shared" si="1"/>
        <v>I</v>
      </c>
      <c r="C12" s="8">
        <f t="shared" si="2"/>
        <v>23257.42</v>
      </c>
      <c r="D12" s="10" t="str">
        <f t="shared" si="3"/>
        <v>vis</v>
      </c>
      <c r="E12" s="41">
        <f>VLOOKUP(C12,Active!C$21:E$973,3,FALSE)</f>
        <v>-2994.9875429103249</v>
      </c>
      <c r="F12" s="3" t="s">
        <v>145</v>
      </c>
      <c r="G12" s="10" t="str">
        <f t="shared" si="4"/>
        <v>23257.420</v>
      </c>
      <c r="H12" s="8">
        <f t="shared" si="5"/>
        <v>-1612</v>
      </c>
      <c r="I12" s="42" t="s">
        <v>2</v>
      </c>
      <c r="J12" s="43" t="s">
        <v>3</v>
      </c>
      <c r="K12" s="42">
        <v>-1612</v>
      </c>
      <c r="L12" s="42" t="s">
        <v>158</v>
      </c>
      <c r="M12" s="43" t="s">
        <v>148</v>
      </c>
      <c r="N12" s="43"/>
      <c r="O12" s="44" t="s">
        <v>4</v>
      </c>
      <c r="P12" s="44" t="s">
        <v>5</v>
      </c>
    </row>
    <row r="13" spans="1:16" ht="12.75" customHeight="1" thickBot="1" x14ac:dyDescent="0.25">
      <c r="A13" s="8" t="str">
        <f t="shared" si="0"/>
        <v> AN 221.318 </v>
      </c>
      <c r="B13" s="3" t="str">
        <f t="shared" si="1"/>
        <v>I</v>
      </c>
      <c r="C13" s="8">
        <f t="shared" si="2"/>
        <v>23628.559000000001</v>
      </c>
      <c r="D13" s="10" t="str">
        <f t="shared" si="3"/>
        <v>vis</v>
      </c>
      <c r="E13" s="41">
        <f>VLOOKUP(C13,Active!C$21:E$973,3,FALSE)</f>
        <v>-2956.9868869636243</v>
      </c>
      <c r="F13" s="3" t="s">
        <v>145</v>
      </c>
      <c r="G13" s="10" t="str">
        <f t="shared" si="4"/>
        <v>23628.559</v>
      </c>
      <c r="H13" s="8">
        <f t="shared" si="5"/>
        <v>-1574</v>
      </c>
      <c r="I13" s="42" t="s">
        <v>6</v>
      </c>
      <c r="J13" s="43" t="s">
        <v>7</v>
      </c>
      <c r="K13" s="42">
        <v>-1574</v>
      </c>
      <c r="L13" s="42" t="s">
        <v>159</v>
      </c>
      <c r="M13" s="43" t="s">
        <v>148</v>
      </c>
      <c r="N13" s="43"/>
      <c r="O13" s="44" t="s">
        <v>4</v>
      </c>
      <c r="P13" s="44" t="s">
        <v>5</v>
      </c>
    </row>
    <row r="14" spans="1:16" ht="12.75" customHeight="1" thickBot="1" x14ac:dyDescent="0.25">
      <c r="A14" s="8" t="str">
        <f t="shared" si="0"/>
        <v> AN 226.201 </v>
      </c>
      <c r="B14" s="3" t="str">
        <f t="shared" si="1"/>
        <v>I</v>
      </c>
      <c r="C14" s="8">
        <f t="shared" si="2"/>
        <v>24302.448</v>
      </c>
      <c r="D14" s="10" t="str">
        <f t="shared" si="3"/>
        <v>vis</v>
      </c>
      <c r="E14" s="41">
        <f>VLOOKUP(C14,Active!C$21:E$973,3,FALSE)</f>
        <v>-2887.9878757164488</v>
      </c>
      <c r="F14" s="3" t="s">
        <v>145</v>
      </c>
      <c r="G14" s="10" t="str">
        <f t="shared" si="4"/>
        <v>24302.448</v>
      </c>
      <c r="H14" s="8">
        <f t="shared" si="5"/>
        <v>-1505</v>
      </c>
      <c r="I14" s="42" t="s">
        <v>8</v>
      </c>
      <c r="J14" s="43" t="s">
        <v>9</v>
      </c>
      <c r="K14" s="42">
        <v>-1505</v>
      </c>
      <c r="L14" s="42" t="s">
        <v>157</v>
      </c>
      <c r="M14" s="43" t="s">
        <v>148</v>
      </c>
      <c r="N14" s="43"/>
      <c r="O14" s="44" t="s">
        <v>4</v>
      </c>
      <c r="P14" s="44" t="s">
        <v>10</v>
      </c>
    </row>
    <row r="15" spans="1:16" ht="12.75" customHeight="1" thickBot="1" x14ac:dyDescent="0.25">
      <c r="A15" s="8" t="str">
        <f t="shared" si="0"/>
        <v> AJ 39.85 </v>
      </c>
      <c r="B15" s="3" t="str">
        <f t="shared" si="1"/>
        <v>I</v>
      </c>
      <c r="C15" s="8">
        <f t="shared" si="2"/>
        <v>25484.22</v>
      </c>
      <c r="D15" s="10" t="str">
        <f t="shared" si="3"/>
        <v>vis</v>
      </c>
      <c r="E15" s="41">
        <f>VLOOKUP(C15,Active!C$21:E$973,3,FALSE)</f>
        <v>-2766.9870884657325</v>
      </c>
      <c r="F15" s="3" t="s">
        <v>145</v>
      </c>
      <c r="G15" s="10" t="str">
        <f t="shared" si="4"/>
        <v>25484.22</v>
      </c>
      <c r="H15" s="8">
        <f t="shared" si="5"/>
        <v>-1384</v>
      </c>
      <c r="I15" s="42" t="s">
        <v>11</v>
      </c>
      <c r="J15" s="43" t="s">
        <v>12</v>
      </c>
      <c r="K15" s="42">
        <v>-1384</v>
      </c>
      <c r="L15" s="42" t="s">
        <v>13</v>
      </c>
      <c r="M15" s="43" t="s">
        <v>148</v>
      </c>
      <c r="N15" s="43"/>
      <c r="O15" s="44" t="s">
        <v>14</v>
      </c>
      <c r="P15" s="44" t="s">
        <v>150</v>
      </c>
    </row>
    <row r="16" spans="1:16" ht="12.75" customHeight="1" thickBot="1" x14ac:dyDescent="0.25">
      <c r="A16" s="8" t="str">
        <f t="shared" si="0"/>
        <v> AN 259.191 </v>
      </c>
      <c r="B16" s="3" t="str">
        <f t="shared" si="1"/>
        <v>I</v>
      </c>
      <c r="C16" s="8">
        <f t="shared" si="2"/>
        <v>27623.116000000002</v>
      </c>
      <c r="D16" s="10" t="str">
        <f t="shared" si="3"/>
        <v>vis</v>
      </c>
      <c r="E16" s="41">
        <f>VLOOKUP(C16,Active!C$21:E$973,3,FALSE)</f>
        <v>-2547.9870615168734</v>
      </c>
      <c r="F16" s="3" t="s">
        <v>145</v>
      </c>
      <c r="G16" s="10" t="str">
        <f t="shared" si="4"/>
        <v>27623.116</v>
      </c>
      <c r="H16" s="8">
        <f t="shared" si="5"/>
        <v>-1165</v>
      </c>
      <c r="I16" s="42" t="s">
        <v>15</v>
      </c>
      <c r="J16" s="43" t="s">
        <v>16</v>
      </c>
      <c r="K16" s="42">
        <v>-1165</v>
      </c>
      <c r="L16" s="42" t="s">
        <v>17</v>
      </c>
      <c r="M16" s="43" t="s">
        <v>148</v>
      </c>
      <c r="N16" s="43"/>
      <c r="O16" s="44" t="s">
        <v>153</v>
      </c>
      <c r="P16" s="44" t="s">
        <v>18</v>
      </c>
    </row>
    <row r="17" spans="1:16" ht="12.75" customHeight="1" thickBot="1" x14ac:dyDescent="0.25">
      <c r="A17" s="8" t="str">
        <f t="shared" si="0"/>
        <v> AN 259.191 </v>
      </c>
      <c r="B17" s="3" t="str">
        <f t="shared" si="1"/>
        <v>I</v>
      </c>
      <c r="C17" s="8">
        <f t="shared" si="2"/>
        <v>27711.005000000001</v>
      </c>
      <c r="D17" s="10" t="str">
        <f t="shared" si="3"/>
        <v>vis</v>
      </c>
      <c r="E17" s="41">
        <f>VLOOKUP(C17,Active!C$21:E$973,3,FALSE)</f>
        <v>-2538.9881698603795</v>
      </c>
      <c r="F17" s="3" t="s">
        <v>145</v>
      </c>
      <c r="G17" s="10" t="str">
        <f t="shared" si="4"/>
        <v>27711.005</v>
      </c>
      <c r="H17" s="8">
        <f t="shared" si="5"/>
        <v>-1156</v>
      </c>
      <c r="I17" s="42" t="s">
        <v>19</v>
      </c>
      <c r="J17" s="43" t="s">
        <v>20</v>
      </c>
      <c r="K17" s="42">
        <v>-1156</v>
      </c>
      <c r="L17" s="42" t="s">
        <v>21</v>
      </c>
      <c r="M17" s="43" t="s">
        <v>148</v>
      </c>
      <c r="N17" s="43"/>
      <c r="O17" s="44" t="s">
        <v>153</v>
      </c>
      <c r="P17" s="44" t="s">
        <v>18</v>
      </c>
    </row>
    <row r="18" spans="1:16" ht="12.75" customHeight="1" thickBot="1" x14ac:dyDescent="0.25">
      <c r="A18" s="8" t="str">
        <f t="shared" si="0"/>
        <v> AN 259.191 </v>
      </c>
      <c r="B18" s="3" t="str">
        <f t="shared" si="1"/>
        <v>I</v>
      </c>
      <c r="C18" s="8">
        <f t="shared" si="2"/>
        <v>27877.050999999999</v>
      </c>
      <c r="D18" s="10" t="str">
        <f t="shared" si="3"/>
        <v>vis</v>
      </c>
      <c r="E18" s="41">
        <f>VLOOKUP(C18,Active!C$21:E$973,3,FALSE)</f>
        <v>-2521.9868390454403</v>
      </c>
      <c r="F18" s="3" t="s">
        <v>145</v>
      </c>
      <c r="G18" s="10" t="str">
        <f t="shared" si="4"/>
        <v>27877.051</v>
      </c>
      <c r="H18" s="8">
        <f t="shared" si="5"/>
        <v>-1139</v>
      </c>
      <c r="I18" s="42" t="s">
        <v>22</v>
      </c>
      <c r="J18" s="43" t="s">
        <v>23</v>
      </c>
      <c r="K18" s="42">
        <v>-1139</v>
      </c>
      <c r="L18" s="42" t="s">
        <v>24</v>
      </c>
      <c r="M18" s="43" t="s">
        <v>148</v>
      </c>
      <c r="N18" s="43"/>
      <c r="O18" s="44" t="s">
        <v>153</v>
      </c>
      <c r="P18" s="44" t="s">
        <v>18</v>
      </c>
    </row>
    <row r="19" spans="1:16" ht="12.75" customHeight="1" thickBot="1" x14ac:dyDescent="0.25">
      <c r="A19" s="8" t="str">
        <f t="shared" si="0"/>
        <v> AN 259.191 </v>
      </c>
      <c r="B19" s="3" t="str">
        <f t="shared" si="1"/>
        <v>I</v>
      </c>
      <c r="C19" s="8">
        <f t="shared" si="2"/>
        <v>27906.352999999999</v>
      </c>
      <c r="D19" s="10" t="str">
        <f t="shared" si="3"/>
        <v>vis</v>
      </c>
      <c r="E19" s="41">
        <f>VLOOKUP(C19,Active!C$21:E$973,3,FALSE)</f>
        <v>-2518.9866282873413</v>
      </c>
      <c r="F19" s="3" t="s">
        <v>145</v>
      </c>
      <c r="G19" s="10" t="str">
        <f t="shared" si="4"/>
        <v>27906.353</v>
      </c>
      <c r="H19" s="8">
        <f t="shared" si="5"/>
        <v>-1136</v>
      </c>
      <c r="I19" s="42" t="s">
        <v>25</v>
      </c>
      <c r="J19" s="43" t="s">
        <v>26</v>
      </c>
      <c r="K19" s="42">
        <v>-1136</v>
      </c>
      <c r="L19" s="42" t="s">
        <v>27</v>
      </c>
      <c r="M19" s="43" t="s">
        <v>148</v>
      </c>
      <c r="N19" s="43"/>
      <c r="O19" s="44" t="s">
        <v>153</v>
      </c>
      <c r="P19" s="44" t="s">
        <v>18</v>
      </c>
    </row>
    <row r="20" spans="1:16" ht="12.75" customHeight="1" thickBot="1" x14ac:dyDescent="0.25">
      <c r="A20" s="8" t="str">
        <f t="shared" si="0"/>
        <v> AN 259.191 </v>
      </c>
      <c r="B20" s="3" t="str">
        <f t="shared" si="1"/>
        <v>I</v>
      </c>
      <c r="C20" s="8">
        <f t="shared" si="2"/>
        <v>27925.866999999998</v>
      </c>
      <c r="D20" s="10" t="str">
        <f t="shared" si="3"/>
        <v>vis</v>
      </c>
      <c r="E20" s="41">
        <f>VLOOKUP(C20,Active!C$21:E$973,3,FALSE)</f>
        <v>-2516.9886038271152</v>
      </c>
      <c r="F20" s="3" t="s">
        <v>145</v>
      </c>
      <c r="G20" s="10" t="str">
        <f t="shared" si="4"/>
        <v>27925.867</v>
      </c>
      <c r="H20" s="8">
        <f t="shared" si="5"/>
        <v>-1134</v>
      </c>
      <c r="I20" s="42" t="s">
        <v>28</v>
      </c>
      <c r="J20" s="43" t="s">
        <v>29</v>
      </c>
      <c r="K20" s="42">
        <v>-1134</v>
      </c>
      <c r="L20" s="42" t="s">
        <v>156</v>
      </c>
      <c r="M20" s="43" t="s">
        <v>148</v>
      </c>
      <c r="N20" s="43"/>
      <c r="O20" s="44" t="s">
        <v>153</v>
      </c>
      <c r="P20" s="44" t="s">
        <v>18</v>
      </c>
    </row>
    <row r="21" spans="1:16" ht="12.75" customHeight="1" thickBot="1" x14ac:dyDescent="0.25">
      <c r="A21" s="8" t="str">
        <f t="shared" si="0"/>
        <v> AN 259.191 </v>
      </c>
      <c r="B21" s="3" t="str">
        <f t="shared" si="1"/>
        <v>I</v>
      </c>
      <c r="C21" s="8">
        <f t="shared" si="2"/>
        <v>27964.94</v>
      </c>
      <c r="D21" s="10" t="str">
        <f t="shared" si="3"/>
        <v>vis</v>
      </c>
      <c r="E21" s="41">
        <f>VLOOKUP(C21,Active!C$21:E$973,3,FALSE)</f>
        <v>-2512.9879473889464</v>
      </c>
      <c r="F21" s="3" t="s">
        <v>145</v>
      </c>
      <c r="G21" s="10" t="str">
        <f t="shared" si="4"/>
        <v>27964.940</v>
      </c>
      <c r="H21" s="8">
        <f t="shared" si="5"/>
        <v>-1130</v>
      </c>
      <c r="I21" s="42" t="s">
        <v>30</v>
      </c>
      <c r="J21" s="43" t="s">
        <v>31</v>
      </c>
      <c r="K21" s="42">
        <v>-1130</v>
      </c>
      <c r="L21" s="42" t="s">
        <v>32</v>
      </c>
      <c r="M21" s="43" t="s">
        <v>148</v>
      </c>
      <c r="N21" s="43"/>
      <c r="O21" s="44" t="s">
        <v>153</v>
      </c>
      <c r="P21" s="44" t="s">
        <v>18</v>
      </c>
    </row>
    <row r="22" spans="1:16" ht="12.75" customHeight="1" thickBot="1" x14ac:dyDescent="0.25">
      <c r="A22" s="8" t="str">
        <f t="shared" si="0"/>
        <v> AN 259.191 </v>
      </c>
      <c r="B22" s="3" t="str">
        <f t="shared" si="1"/>
        <v>I</v>
      </c>
      <c r="C22" s="8">
        <f t="shared" si="2"/>
        <v>27994.258999999998</v>
      </c>
      <c r="D22" s="10" t="str">
        <f t="shared" si="3"/>
        <v>vis</v>
      </c>
      <c r="E22" s="41">
        <f>VLOOKUP(C22,Active!C$21:E$973,3,FALSE)</f>
        <v>-2509.9859960130434</v>
      </c>
      <c r="F22" s="3" t="s">
        <v>145</v>
      </c>
      <c r="G22" s="10" t="str">
        <f t="shared" si="4"/>
        <v>27994.259</v>
      </c>
      <c r="H22" s="8">
        <f t="shared" si="5"/>
        <v>-1127</v>
      </c>
      <c r="I22" s="42" t="s">
        <v>33</v>
      </c>
      <c r="J22" s="43" t="s">
        <v>34</v>
      </c>
      <c r="K22" s="42">
        <v>-1127</v>
      </c>
      <c r="L22" s="42" t="s">
        <v>35</v>
      </c>
      <c r="M22" s="43" t="s">
        <v>148</v>
      </c>
      <c r="N22" s="43"/>
      <c r="O22" s="44" t="s">
        <v>153</v>
      </c>
      <c r="P22" s="44" t="s">
        <v>18</v>
      </c>
    </row>
    <row r="23" spans="1:16" ht="12.75" customHeight="1" thickBot="1" x14ac:dyDescent="0.25">
      <c r="A23" s="8" t="str">
        <f t="shared" si="0"/>
        <v> AN 259.191 </v>
      </c>
      <c r="B23" s="3" t="str">
        <f t="shared" si="1"/>
        <v>I</v>
      </c>
      <c r="C23" s="8">
        <f t="shared" si="2"/>
        <v>28062.607</v>
      </c>
      <c r="D23" s="10" t="str">
        <f t="shared" si="3"/>
        <v>vis</v>
      </c>
      <c r="E23" s="41">
        <f>VLOOKUP(C23,Active!C$21:E$973,3,FALSE)</f>
        <v>-2502.9878933274053</v>
      </c>
      <c r="F23" s="3" t="s">
        <v>145</v>
      </c>
      <c r="G23" s="10" t="str">
        <f t="shared" si="4"/>
        <v>28062.607</v>
      </c>
      <c r="H23" s="8">
        <f t="shared" si="5"/>
        <v>-1120</v>
      </c>
      <c r="I23" s="42" t="s">
        <v>36</v>
      </c>
      <c r="J23" s="43" t="s">
        <v>37</v>
      </c>
      <c r="K23" s="42">
        <v>-1120</v>
      </c>
      <c r="L23" s="42" t="s">
        <v>38</v>
      </c>
      <c r="M23" s="43" t="s">
        <v>148</v>
      </c>
      <c r="N23" s="43"/>
      <c r="O23" s="44" t="s">
        <v>153</v>
      </c>
      <c r="P23" s="44" t="s">
        <v>18</v>
      </c>
    </row>
    <row r="24" spans="1:16" ht="12.75" customHeight="1" thickBot="1" x14ac:dyDescent="0.25">
      <c r="A24" s="8" t="str">
        <f t="shared" si="0"/>
        <v> IKZ 26.42 </v>
      </c>
      <c r="B24" s="3" t="str">
        <f t="shared" si="1"/>
        <v>I</v>
      </c>
      <c r="C24" s="8">
        <f t="shared" si="2"/>
        <v>29127.155999999999</v>
      </c>
      <c r="D24" s="10" t="str">
        <f t="shared" si="3"/>
        <v>vis</v>
      </c>
      <c r="E24" s="41">
        <f>VLOOKUP(C24,Active!C$21:E$973,3,FALSE)</f>
        <v>-2393.9894849483253</v>
      </c>
      <c r="F24" s="3" t="s">
        <v>145</v>
      </c>
      <c r="G24" s="10" t="str">
        <f t="shared" si="4"/>
        <v>29127.156</v>
      </c>
      <c r="H24" s="8">
        <f t="shared" si="5"/>
        <v>-1011</v>
      </c>
      <c r="I24" s="42" t="s">
        <v>39</v>
      </c>
      <c r="J24" s="43" t="s">
        <v>40</v>
      </c>
      <c r="K24" s="42">
        <v>-1011</v>
      </c>
      <c r="L24" s="42" t="s">
        <v>156</v>
      </c>
      <c r="M24" s="43" t="s">
        <v>148</v>
      </c>
      <c r="N24" s="43"/>
      <c r="O24" s="44" t="s">
        <v>41</v>
      </c>
      <c r="P24" s="44" t="s">
        <v>42</v>
      </c>
    </row>
    <row r="25" spans="1:16" ht="12.75" customHeight="1" thickBot="1" x14ac:dyDescent="0.25">
      <c r="A25" s="8" t="str">
        <f t="shared" si="0"/>
        <v> HA 113.74 </v>
      </c>
      <c r="B25" s="3" t="str">
        <f t="shared" si="1"/>
        <v>I</v>
      </c>
      <c r="C25" s="8">
        <f t="shared" si="2"/>
        <v>29928.05</v>
      </c>
      <c r="D25" s="10" t="str">
        <f t="shared" si="3"/>
        <v>vis</v>
      </c>
      <c r="E25" s="41">
        <f>VLOOKUP(C25,Active!C$21:E$973,3,FALSE)</f>
        <v>-2311.9865228673357</v>
      </c>
      <c r="F25" s="3" t="s">
        <v>145</v>
      </c>
      <c r="G25" s="10" t="str">
        <f t="shared" si="4"/>
        <v>29928.050</v>
      </c>
      <c r="H25" s="8">
        <f t="shared" si="5"/>
        <v>-929</v>
      </c>
      <c r="I25" s="42" t="s">
        <v>43</v>
      </c>
      <c r="J25" s="43" t="s">
        <v>44</v>
      </c>
      <c r="K25" s="42">
        <v>-929</v>
      </c>
      <c r="L25" s="42" t="s">
        <v>45</v>
      </c>
      <c r="M25" s="43" t="s">
        <v>147</v>
      </c>
      <c r="N25" s="43"/>
      <c r="O25" s="44" t="s">
        <v>154</v>
      </c>
      <c r="P25" s="44" t="s">
        <v>155</v>
      </c>
    </row>
    <row r="26" spans="1:16" ht="12.75" customHeight="1" thickBot="1" x14ac:dyDescent="0.25">
      <c r="A26" s="8" t="str">
        <f t="shared" si="0"/>
        <v> MVS 2.123 </v>
      </c>
      <c r="B26" s="3" t="str">
        <f t="shared" si="1"/>
        <v>I</v>
      </c>
      <c r="C26" s="8">
        <f t="shared" si="2"/>
        <v>37145.455000000002</v>
      </c>
      <c r="D26" s="10" t="str">
        <f t="shared" si="3"/>
        <v>vis</v>
      </c>
      <c r="E26" s="41">
        <f>VLOOKUP(C26,Active!C$21:E$973,3,FALSE)</f>
        <v>-1573.0016028427851</v>
      </c>
      <c r="F26" s="3" t="s">
        <v>145</v>
      </c>
      <c r="G26" s="10" t="str">
        <f t="shared" si="4"/>
        <v>37145.455</v>
      </c>
      <c r="H26" s="8">
        <f t="shared" si="5"/>
        <v>-190</v>
      </c>
      <c r="I26" s="42" t="s">
        <v>46</v>
      </c>
      <c r="J26" s="43" t="s">
        <v>47</v>
      </c>
      <c r="K26" s="42">
        <v>-190</v>
      </c>
      <c r="L26" s="42" t="s">
        <v>149</v>
      </c>
      <c r="M26" s="43" t="s">
        <v>48</v>
      </c>
      <c r="N26" s="43"/>
      <c r="O26" s="44" t="s">
        <v>49</v>
      </c>
      <c r="P26" s="44" t="s">
        <v>50</v>
      </c>
    </row>
    <row r="27" spans="1:16" ht="12.75" customHeight="1" thickBot="1" x14ac:dyDescent="0.25">
      <c r="A27" s="8" t="str">
        <f t="shared" si="0"/>
        <v> MVS 2.123 </v>
      </c>
      <c r="B27" s="3" t="str">
        <f t="shared" si="1"/>
        <v>I</v>
      </c>
      <c r="C27" s="8">
        <f t="shared" si="2"/>
        <v>37731.667000000001</v>
      </c>
      <c r="D27" s="10" t="str">
        <f t="shared" si="3"/>
        <v>vis</v>
      </c>
      <c r="E27" s="41">
        <f>VLOOKUP(C27,Active!C$21:E$973,3,FALSE)</f>
        <v>-1512.9797767241964</v>
      </c>
      <c r="F27" s="3" t="s">
        <v>145</v>
      </c>
      <c r="G27" s="10" t="str">
        <f t="shared" si="4"/>
        <v>37731.667</v>
      </c>
      <c r="H27" s="8">
        <f t="shared" si="5"/>
        <v>-130</v>
      </c>
      <c r="I27" s="42" t="s">
        <v>51</v>
      </c>
      <c r="J27" s="43" t="s">
        <v>52</v>
      </c>
      <c r="K27" s="42">
        <v>-130</v>
      </c>
      <c r="L27" s="42" t="s">
        <v>53</v>
      </c>
      <c r="M27" s="43" t="s">
        <v>48</v>
      </c>
      <c r="N27" s="43"/>
      <c r="O27" s="44" t="s">
        <v>49</v>
      </c>
      <c r="P27" s="44" t="s">
        <v>50</v>
      </c>
    </row>
    <row r="28" spans="1:16" ht="12.75" customHeight="1" thickBot="1" x14ac:dyDescent="0.25">
      <c r="A28" s="8" t="str">
        <f t="shared" si="0"/>
        <v> MVS 2.123 </v>
      </c>
      <c r="B28" s="3" t="str">
        <f t="shared" si="1"/>
        <v>I</v>
      </c>
      <c r="C28" s="8">
        <f t="shared" si="2"/>
        <v>37907.404000000002</v>
      </c>
      <c r="D28" s="10" t="str">
        <f t="shared" si="3"/>
        <v>vis</v>
      </c>
      <c r="E28" s="41">
        <f>VLOOKUP(C28,Active!C$21:E$973,3,FALSE)</f>
        <v>-1494.9861913717941</v>
      </c>
      <c r="F28" s="3" t="s">
        <v>145</v>
      </c>
      <c r="G28" s="10" t="str">
        <f t="shared" si="4"/>
        <v>37907.404</v>
      </c>
      <c r="H28" s="8">
        <f t="shared" si="5"/>
        <v>-112</v>
      </c>
      <c r="I28" s="42" t="s">
        <v>54</v>
      </c>
      <c r="J28" s="43" t="s">
        <v>55</v>
      </c>
      <c r="K28" s="42">
        <v>-112</v>
      </c>
      <c r="L28" s="42" t="s">
        <v>56</v>
      </c>
      <c r="M28" s="43" t="s">
        <v>48</v>
      </c>
      <c r="N28" s="43"/>
      <c r="O28" s="44" t="s">
        <v>49</v>
      </c>
      <c r="P28" s="44" t="s">
        <v>50</v>
      </c>
    </row>
    <row r="29" spans="1:16" ht="12.75" customHeight="1" thickBot="1" x14ac:dyDescent="0.25">
      <c r="A29" s="8" t="str">
        <f t="shared" si="0"/>
        <v> MVS 2.123 </v>
      </c>
      <c r="B29" s="3" t="str">
        <f t="shared" si="1"/>
        <v>I</v>
      </c>
      <c r="C29" s="8">
        <f t="shared" si="2"/>
        <v>38092.652999999998</v>
      </c>
      <c r="D29" s="10" t="str">
        <f t="shared" si="3"/>
        <v>vis</v>
      </c>
      <c r="E29" s="41">
        <f>VLOOKUP(C29,Active!C$21:E$973,3,FALSE)</f>
        <v>-1476.0186791635108</v>
      </c>
      <c r="F29" s="3" t="s">
        <v>145</v>
      </c>
      <c r="G29" s="10" t="str">
        <f t="shared" si="4"/>
        <v>38092.653</v>
      </c>
      <c r="H29" s="8">
        <f t="shared" si="5"/>
        <v>-93</v>
      </c>
      <c r="I29" s="42" t="s">
        <v>57</v>
      </c>
      <c r="J29" s="43" t="s">
        <v>58</v>
      </c>
      <c r="K29" s="42">
        <v>-93</v>
      </c>
      <c r="L29" s="42" t="s">
        <v>59</v>
      </c>
      <c r="M29" s="43" t="s">
        <v>48</v>
      </c>
      <c r="N29" s="43"/>
      <c r="O29" s="44" t="s">
        <v>49</v>
      </c>
      <c r="P29" s="44" t="s">
        <v>50</v>
      </c>
    </row>
    <row r="30" spans="1:16" ht="12.75" customHeight="1" thickBot="1" x14ac:dyDescent="0.25">
      <c r="A30" s="8" t="str">
        <f t="shared" si="0"/>
        <v> MVS 2.123 </v>
      </c>
      <c r="B30" s="3" t="str">
        <f t="shared" si="1"/>
        <v>I</v>
      </c>
      <c r="C30" s="8">
        <f t="shared" si="2"/>
        <v>38112.610999999997</v>
      </c>
      <c r="D30" s="10" t="str">
        <f t="shared" si="3"/>
        <v>vis</v>
      </c>
      <c r="E30" s="41">
        <f>VLOOKUP(C30,Active!C$21:E$973,3,FALSE)</f>
        <v>-1473.9751938618201</v>
      </c>
      <c r="F30" s="3" t="s">
        <v>145</v>
      </c>
      <c r="G30" s="10" t="str">
        <f t="shared" si="4"/>
        <v>38112.611</v>
      </c>
      <c r="H30" s="8">
        <f t="shared" si="5"/>
        <v>-91</v>
      </c>
      <c r="I30" s="42" t="s">
        <v>60</v>
      </c>
      <c r="J30" s="43" t="s">
        <v>61</v>
      </c>
      <c r="K30" s="42">
        <v>-91</v>
      </c>
      <c r="L30" s="42" t="s">
        <v>62</v>
      </c>
      <c r="M30" s="43" t="s">
        <v>48</v>
      </c>
      <c r="N30" s="43"/>
      <c r="O30" s="44" t="s">
        <v>49</v>
      </c>
      <c r="P30" s="44" t="s">
        <v>50</v>
      </c>
    </row>
    <row r="31" spans="1:16" ht="12.75" customHeight="1" thickBot="1" x14ac:dyDescent="0.25">
      <c r="A31" s="8" t="str">
        <f t="shared" si="0"/>
        <v> MVS 2.123 </v>
      </c>
      <c r="B31" s="3" t="str">
        <f t="shared" si="1"/>
        <v>I</v>
      </c>
      <c r="C31" s="8">
        <f t="shared" si="2"/>
        <v>38239.438999999998</v>
      </c>
      <c r="D31" s="10" t="str">
        <f t="shared" si="3"/>
        <v>vis</v>
      </c>
      <c r="E31" s="41">
        <f>VLOOKUP(C31,Active!C$21:E$973,3,FALSE)</f>
        <v>-1460.989365931023</v>
      </c>
      <c r="F31" s="3" t="s">
        <v>145</v>
      </c>
      <c r="G31" s="10" t="str">
        <f t="shared" si="4"/>
        <v>38239.439</v>
      </c>
      <c r="H31" s="8">
        <f t="shared" si="5"/>
        <v>-78</v>
      </c>
      <c r="I31" s="42" t="s">
        <v>63</v>
      </c>
      <c r="J31" s="43" t="s">
        <v>64</v>
      </c>
      <c r="K31" s="42">
        <v>-78</v>
      </c>
      <c r="L31" s="42" t="s">
        <v>65</v>
      </c>
      <c r="M31" s="43" t="s">
        <v>48</v>
      </c>
      <c r="N31" s="43"/>
      <c r="O31" s="44" t="s">
        <v>49</v>
      </c>
      <c r="P31" s="44" t="s">
        <v>50</v>
      </c>
    </row>
    <row r="32" spans="1:16" ht="12.75" customHeight="1" thickBot="1" x14ac:dyDescent="0.25">
      <c r="A32" s="8" t="str">
        <f t="shared" si="0"/>
        <v> AN 291.233 </v>
      </c>
      <c r="B32" s="3" t="str">
        <f t="shared" si="1"/>
        <v>I</v>
      </c>
      <c r="C32" s="8">
        <f t="shared" si="2"/>
        <v>39001.1348</v>
      </c>
      <c r="D32" s="10" t="str">
        <f t="shared" si="3"/>
        <v>vis</v>
      </c>
      <c r="E32" s="41">
        <f>VLOOKUP(C32,Active!C$21:E$973,3,FALSE)</f>
        <v>-1382.9998794263809</v>
      </c>
      <c r="F32" s="3" t="s">
        <v>145</v>
      </c>
      <c r="G32" s="10" t="str">
        <f t="shared" si="4"/>
        <v>39001.1348</v>
      </c>
      <c r="H32" s="8">
        <f t="shared" si="5"/>
        <v>0</v>
      </c>
      <c r="I32" s="42" t="s">
        <v>66</v>
      </c>
      <c r="J32" s="43" t="s">
        <v>67</v>
      </c>
      <c r="K32" s="42">
        <v>0</v>
      </c>
      <c r="L32" s="42" t="s">
        <v>68</v>
      </c>
      <c r="M32" s="43" t="s">
        <v>151</v>
      </c>
      <c r="N32" s="43" t="s">
        <v>152</v>
      </c>
      <c r="O32" s="44" t="s">
        <v>69</v>
      </c>
      <c r="P32" s="44" t="s">
        <v>70</v>
      </c>
    </row>
    <row r="33" spans="1:16" ht="12.75" customHeight="1" thickBot="1" x14ac:dyDescent="0.25">
      <c r="A33" s="8" t="str">
        <f t="shared" si="0"/>
        <v>BAVM 79 </v>
      </c>
      <c r="B33" s="3" t="str">
        <f t="shared" si="1"/>
        <v>I</v>
      </c>
      <c r="C33" s="8">
        <f t="shared" si="2"/>
        <v>49578.36</v>
      </c>
      <c r="D33" s="10" t="str">
        <f t="shared" si="3"/>
        <v>vis</v>
      </c>
      <c r="E33" s="41">
        <f>VLOOKUP(C33,Active!C$21:E$973,3,FALSE)</f>
        <v>-300.00537953290655</v>
      </c>
      <c r="F33" s="3" t="s">
        <v>145</v>
      </c>
      <c r="G33" s="10" t="str">
        <f t="shared" si="4"/>
        <v>49578.36</v>
      </c>
      <c r="H33" s="8">
        <f t="shared" si="5"/>
        <v>1083</v>
      </c>
      <c r="I33" s="42" t="s">
        <v>71</v>
      </c>
      <c r="J33" s="43" t="s">
        <v>72</v>
      </c>
      <c r="K33" s="42">
        <v>1083</v>
      </c>
      <c r="L33" s="42" t="s">
        <v>73</v>
      </c>
      <c r="M33" s="43" t="s">
        <v>148</v>
      </c>
      <c r="N33" s="43"/>
      <c r="O33" s="44" t="s">
        <v>74</v>
      </c>
      <c r="P33" s="45" t="s">
        <v>75</v>
      </c>
    </row>
    <row r="34" spans="1:16" ht="12.75" customHeight="1" thickBot="1" x14ac:dyDescent="0.25">
      <c r="A34" s="8" t="str">
        <f t="shared" si="0"/>
        <v>BAVM 157 </v>
      </c>
      <c r="B34" s="3" t="str">
        <f t="shared" si="1"/>
        <v>I</v>
      </c>
      <c r="C34" s="8">
        <f t="shared" si="2"/>
        <v>52547.49</v>
      </c>
      <c r="D34" s="10" t="str">
        <f t="shared" si="3"/>
        <v>vis</v>
      </c>
      <c r="E34" s="41">
        <f>VLOOKUP(C34,Active!C$21:E$973,3,FALSE)</f>
        <v>4.0017110477788549</v>
      </c>
      <c r="F34" s="3" t="s">
        <v>145</v>
      </c>
      <c r="G34" s="10" t="str">
        <f t="shared" si="4"/>
        <v>52547.49</v>
      </c>
      <c r="H34" s="8">
        <f t="shared" si="5"/>
        <v>1387</v>
      </c>
      <c r="I34" s="42" t="s">
        <v>80</v>
      </c>
      <c r="J34" s="43" t="s">
        <v>81</v>
      </c>
      <c r="K34" s="42">
        <v>1387</v>
      </c>
      <c r="L34" s="42" t="s">
        <v>82</v>
      </c>
      <c r="M34" s="43" t="s">
        <v>148</v>
      </c>
      <c r="N34" s="43"/>
      <c r="O34" s="44" t="s">
        <v>161</v>
      </c>
      <c r="P34" s="45" t="s">
        <v>83</v>
      </c>
    </row>
    <row r="35" spans="1:16" ht="12.75" customHeight="1" thickBot="1" x14ac:dyDescent="0.25">
      <c r="A35" s="8" t="str">
        <f t="shared" si="0"/>
        <v>BAVM 179 </v>
      </c>
      <c r="B35" s="3" t="str">
        <f t="shared" si="1"/>
        <v>I</v>
      </c>
      <c r="C35" s="8">
        <f t="shared" si="2"/>
        <v>53270.213000000003</v>
      </c>
      <c r="D35" s="10" t="str">
        <f t="shared" si="3"/>
        <v>vis</v>
      </c>
      <c r="E35" s="41">
        <f>VLOOKUP(C35,Active!C$21:E$973,3,FALSE)</f>
        <v>78.000800520367306</v>
      </c>
      <c r="F35" s="3" t="s">
        <v>145</v>
      </c>
      <c r="G35" s="10" t="str">
        <f t="shared" si="4"/>
        <v>53270.213</v>
      </c>
      <c r="H35" s="8">
        <f t="shared" si="5"/>
        <v>1461</v>
      </c>
      <c r="I35" s="42" t="s">
        <v>84</v>
      </c>
      <c r="J35" s="43" t="s">
        <v>85</v>
      </c>
      <c r="K35" s="42">
        <v>1461</v>
      </c>
      <c r="L35" s="42" t="s">
        <v>86</v>
      </c>
      <c r="M35" s="43" t="s">
        <v>148</v>
      </c>
      <c r="N35" s="43"/>
      <c r="O35" s="44" t="s">
        <v>87</v>
      </c>
      <c r="P35" s="45" t="s">
        <v>0</v>
      </c>
    </row>
    <row r="36" spans="1:16" ht="12.75" customHeight="1" thickBot="1" x14ac:dyDescent="0.25">
      <c r="A36" s="8" t="str">
        <f t="shared" si="0"/>
        <v>BAVM 212 </v>
      </c>
      <c r="B36" s="3" t="str">
        <f t="shared" si="1"/>
        <v>I</v>
      </c>
      <c r="C36" s="8">
        <f t="shared" si="2"/>
        <v>55096.396699999998</v>
      </c>
      <c r="D36" s="10" t="str">
        <f t="shared" si="3"/>
        <v>vis</v>
      </c>
      <c r="E36" s="41">
        <f>VLOOKUP(C36,Active!C$21:E$973,3,FALSE)</f>
        <v>264.98243941892343</v>
      </c>
      <c r="F36" s="3" t="s">
        <v>145</v>
      </c>
      <c r="G36" s="10" t="str">
        <f t="shared" si="4"/>
        <v>55096.3967</v>
      </c>
      <c r="H36" s="8">
        <f t="shared" si="5"/>
        <v>1648</v>
      </c>
      <c r="I36" s="42" t="s">
        <v>88</v>
      </c>
      <c r="J36" s="43" t="s">
        <v>89</v>
      </c>
      <c r="K36" s="42">
        <v>1648</v>
      </c>
      <c r="L36" s="42" t="s">
        <v>90</v>
      </c>
      <c r="M36" s="43" t="s">
        <v>163</v>
      </c>
      <c r="N36" s="43" t="s">
        <v>162</v>
      </c>
      <c r="O36" s="44" t="s">
        <v>160</v>
      </c>
      <c r="P36" s="45" t="s">
        <v>91</v>
      </c>
    </row>
    <row r="37" spans="1:16" x14ac:dyDescent="0.2">
      <c r="B37" s="3"/>
      <c r="E37" s="41"/>
      <c r="F37" s="3"/>
    </row>
    <row r="38" spans="1:16" x14ac:dyDescent="0.2">
      <c r="B38" s="3"/>
      <c r="E38" s="41"/>
      <c r="F38" s="3"/>
    </row>
    <row r="39" spans="1:16" x14ac:dyDescent="0.2">
      <c r="B39" s="3"/>
      <c r="E39" s="41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</sheetData>
  <phoneticPr fontId="7" type="noConversion"/>
  <hyperlinks>
    <hyperlink ref="P33" r:id="rId1" display="http://www.bav-astro.de/sfs/BAVM_link.php?BAVMnr=79"/>
    <hyperlink ref="P34" r:id="rId2" display="http://www.bav-astro.de/sfs/BAVM_link.php?BAVMnr=157"/>
    <hyperlink ref="P35" r:id="rId3" display="http://www.bav-astro.de/sfs/BAVM_link.php?BAVMnr=179"/>
    <hyperlink ref="P36" r:id="rId4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2024-02-12T04:37:32Z</dcterms:modified>
</cp:coreProperties>
</file>