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AA65A2E-E664-49DC-981A-25F38CF800D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Q21" i="1"/>
  <c r="Q44" i="1"/>
  <c r="Q45" i="1"/>
  <c r="Q46" i="1"/>
  <c r="Q47" i="1"/>
  <c r="Q48" i="1"/>
  <c r="G32" i="2"/>
  <c r="C32" i="2"/>
  <c r="G38" i="2"/>
  <c r="C38" i="2"/>
  <c r="G37" i="2"/>
  <c r="C37" i="2"/>
  <c r="G36" i="2"/>
  <c r="C36" i="2"/>
  <c r="G35" i="2"/>
  <c r="C35" i="2"/>
  <c r="G34" i="2"/>
  <c r="C34" i="2"/>
  <c r="G31" i="2"/>
  <c r="C31" i="2"/>
  <c r="E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33" i="2"/>
  <c r="C33" i="2"/>
  <c r="H32" i="2"/>
  <c r="D32" i="2"/>
  <c r="B32" i="2"/>
  <c r="A32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3" i="2"/>
  <c r="B33" i="2"/>
  <c r="D33" i="2"/>
  <c r="A33" i="2"/>
  <c r="Q49" i="1"/>
  <c r="C17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C7" i="1"/>
  <c r="E43" i="1"/>
  <c r="F43" i="1"/>
  <c r="C8" i="1"/>
  <c r="Q23" i="1"/>
  <c r="E12" i="2"/>
  <c r="E18" i="2"/>
  <c r="E47" i="1"/>
  <c r="F47" i="1"/>
  <c r="G47" i="1"/>
  <c r="I47" i="1"/>
  <c r="E38" i="1"/>
  <c r="F38" i="1"/>
  <c r="G38" i="1"/>
  <c r="H38" i="1"/>
  <c r="E30" i="1"/>
  <c r="F30" i="1"/>
  <c r="E22" i="1"/>
  <c r="F22" i="1"/>
  <c r="G22" i="1"/>
  <c r="H22" i="1"/>
  <c r="E44" i="1"/>
  <c r="F44" i="1"/>
  <c r="G44" i="1"/>
  <c r="I44" i="1"/>
  <c r="E35" i="1"/>
  <c r="F35" i="1"/>
  <c r="E27" i="1"/>
  <c r="F27" i="1"/>
  <c r="E49" i="1"/>
  <c r="F49" i="1"/>
  <c r="G49" i="1"/>
  <c r="J49" i="1"/>
  <c r="E40" i="1"/>
  <c r="F40" i="1"/>
  <c r="G40" i="1"/>
  <c r="H40" i="1"/>
  <c r="E32" i="1"/>
  <c r="F32" i="1"/>
  <c r="G32" i="1"/>
  <c r="H32" i="1"/>
  <c r="E24" i="1"/>
  <c r="F24" i="1"/>
  <c r="G24" i="1"/>
  <c r="H24" i="1"/>
  <c r="E46" i="1"/>
  <c r="F46" i="1"/>
  <c r="G46" i="1"/>
  <c r="I46" i="1"/>
  <c r="E37" i="1"/>
  <c r="F37" i="1"/>
  <c r="G37" i="1"/>
  <c r="H37" i="1"/>
  <c r="E29" i="1"/>
  <c r="F29" i="1"/>
  <c r="G29" i="1"/>
  <c r="H29" i="1"/>
  <c r="E21" i="1"/>
  <c r="F21" i="1"/>
  <c r="G21" i="1"/>
  <c r="E42" i="1"/>
  <c r="F42" i="1"/>
  <c r="G42" i="1"/>
  <c r="I42" i="1"/>
  <c r="E34" i="1"/>
  <c r="F34" i="1"/>
  <c r="G34" i="1"/>
  <c r="H34" i="1"/>
  <c r="E26" i="1"/>
  <c r="F26" i="1"/>
  <c r="G26" i="1"/>
  <c r="H26" i="1"/>
  <c r="E48" i="1"/>
  <c r="F48" i="1"/>
  <c r="G48" i="1"/>
  <c r="I48" i="1"/>
  <c r="E39" i="1"/>
  <c r="F39" i="1"/>
  <c r="G39" i="1"/>
  <c r="H39" i="1"/>
  <c r="E31" i="1"/>
  <c r="F31" i="1"/>
  <c r="G31" i="1"/>
  <c r="H31" i="1"/>
  <c r="E23" i="1"/>
  <c r="F23" i="1"/>
  <c r="G23" i="1"/>
  <c r="H23" i="1"/>
  <c r="G43" i="1"/>
  <c r="I43" i="1"/>
  <c r="E45" i="1"/>
  <c r="F45" i="1"/>
  <c r="G45" i="1"/>
  <c r="I45" i="1"/>
  <c r="E36" i="1"/>
  <c r="F36" i="1"/>
  <c r="G36" i="1"/>
  <c r="H36" i="1"/>
  <c r="G30" i="1"/>
  <c r="H30" i="1"/>
  <c r="E28" i="1"/>
  <c r="F28" i="1"/>
  <c r="G28" i="1"/>
  <c r="H28" i="1"/>
  <c r="E41" i="1"/>
  <c r="F41" i="1"/>
  <c r="G41" i="1"/>
  <c r="H41" i="1"/>
  <c r="G35" i="1"/>
  <c r="H35" i="1"/>
  <c r="E33" i="1"/>
  <c r="F33" i="1"/>
  <c r="G33" i="1"/>
  <c r="H33" i="1"/>
  <c r="G27" i="1"/>
  <c r="H27" i="1"/>
  <c r="E25" i="1"/>
  <c r="F25" i="1"/>
  <c r="G25" i="1"/>
  <c r="H25" i="1"/>
  <c r="I21" i="1"/>
  <c r="E13" i="2"/>
  <c r="E27" i="2"/>
  <c r="E37" i="2"/>
  <c r="E14" i="2"/>
  <c r="E22" i="2"/>
  <c r="E30" i="2"/>
  <c r="E36" i="2"/>
  <c r="E34" i="2"/>
  <c r="E17" i="2"/>
  <c r="E29" i="2"/>
  <c r="E26" i="2"/>
  <c r="E25" i="2"/>
  <c r="E35" i="2"/>
  <c r="E23" i="2"/>
  <c r="E21" i="2"/>
  <c r="E38" i="2"/>
  <c r="E16" i="2"/>
  <c r="E11" i="2"/>
  <c r="E15" i="2"/>
  <c r="E24" i="2"/>
  <c r="E33" i="2"/>
  <c r="E28" i="2"/>
  <c r="E20" i="2"/>
  <c r="E32" i="2"/>
  <c r="E19" i="2"/>
  <c r="C12" i="1"/>
  <c r="C11" i="1"/>
  <c r="O22" i="1" l="1"/>
  <c r="O30" i="1"/>
  <c r="O28" i="1"/>
  <c r="O47" i="1"/>
  <c r="O26" i="1"/>
  <c r="O40" i="1"/>
  <c r="O34" i="1"/>
  <c r="O48" i="1"/>
  <c r="O42" i="1"/>
  <c r="O45" i="1"/>
  <c r="O38" i="1"/>
  <c r="O36" i="1"/>
  <c r="C15" i="1"/>
  <c r="O23" i="1"/>
  <c r="O27" i="1"/>
  <c r="O33" i="1"/>
  <c r="O29" i="1"/>
  <c r="O35" i="1"/>
  <c r="O44" i="1"/>
  <c r="O32" i="1"/>
  <c r="O31" i="1"/>
  <c r="O46" i="1"/>
  <c r="O49" i="1"/>
  <c r="O25" i="1"/>
  <c r="O24" i="1"/>
  <c r="O39" i="1"/>
  <c r="O41" i="1"/>
  <c r="O21" i="1"/>
  <c r="O43" i="1"/>
  <c r="O37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<sst xmlns="http://schemas.openxmlformats.org/spreadsheetml/2006/main" count="339" uniqueCount="170">
  <si>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</si>
  <si>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</si>
  <si>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</si>
  <si>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</si>
  <si>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</si>
  <si>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</si>
  <si>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</si>
  <si>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</si>
  <si>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</si>
  <si>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</si>
  <si>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</si>
  <si>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</si>
  <si>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</si>
  <si>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</si>
  <si>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</si>
  <si>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</si>
  <si>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</si>
  <si>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</si>
  <si>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</si>
  <si>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</si>
  <si>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</si>
  <si>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</si>
  <si>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</si>
  <si>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</si>
  <si>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</si>
  <si>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</si>
  <si>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</si>
  <si>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</si>
  <si>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</si>
  <si>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</t>
  </si>
  <si>
    <t>AA 30,410</t>
  </si>
  <si>
    <t>K</t>
  </si>
  <si>
    <t>pg</t>
  </si>
  <si>
    <t>BAV-M 59</t>
  </si>
  <si>
    <t>Vandenbroere J</t>
  </si>
  <si>
    <t>BBSAG Bull.105</t>
  </si>
  <si>
    <t>B</t>
  </si>
  <si>
    <t># of data points:</t>
  </si>
  <si>
    <t>AM/XRM+E</t>
  </si>
  <si>
    <t>AW Her / GSC 01573-00122</t>
  </si>
  <si>
    <t>IBVS 6149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</si>
  <si>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</si>
  <si>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</si>
  <si>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</si>
  <si>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</si>
  <si>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</si>
  <si>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</si>
  <si>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</si>
  <si>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</si>
  <si>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</si>
  <si>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</si>
  <si>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</si>
  <si>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2425411.4 </t>
  </si>
  <si>
    <t> 13.06.1928 21:36 </t>
  </si>
  <si>
    <t> -0.0 </t>
  </si>
  <si>
    <t>V </t>
  </si>
  <si>
    <t> E.Leiner </t>
  </si>
  <si>
    <t> BZ 11.37 </t>
  </si>
  <si>
    <t>2425719.42 </t>
  </si>
  <si>
    <t> 17.04.1929 22:04 </t>
  </si>
  <si>
    <t> -0.01 </t>
  </si>
  <si>
    <t> K.Kordylewski </t>
  </si>
  <si>
    <t> AAC 1.164 </t>
  </si>
  <si>
    <t>2426529.028 </t>
  </si>
  <si>
    <t> 06.07.1931 12:40 </t>
  </si>
  <si>
    <t> -0.076 </t>
  </si>
  <si>
    <t> COVS </t>
  </si>
  <si>
    <t>2427294.763 </t>
  </si>
  <si>
    <t> 10.08.1933 06:18 </t>
  </si>
  <si>
    <t> -0.007 </t>
  </si>
  <si>
    <t>2427611.612 </t>
  </si>
  <si>
    <t> 23.06.1934 02:41 </t>
  </si>
  <si>
    <t> 0.015 </t>
  </si>
  <si>
    <t> F.Lause </t>
  </si>
  <si>
    <t> AN 259.191 </t>
  </si>
  <si>
    <t>2427629.203 </t>
  </si>
  <si>
    <t> 10.07.1934 16:52 </t>
  </si>
  <si>
    <t> 0.004 </t>
  </si>
  <si>
    <t>2427708.392 </t>
  </si>
  <si>
    <t> 27.09.1934 21:24 </t>
  </si>
  <si>
    <t> -0.014 </t>
  </si>
  <si>
    <t>2427717.230 </t>
  </si>
  <si>
    <t> 06.10.1934 17:31 </t>
  </si>
  <si>
    <t> 0.023 </t>
  </si>
  <si>
    <t>2427981.253 </t>
  </si>
  <si>
    <t> 27.06.1935 18:04 </t>
  </si>
  <si>
    <t> 0.024 </t>
  </si>
  <si>
    <t>2428016.410 </t>
  </si>
  <si>
    <t> 01.08.1935 21:50 </t>
  </si>
  <si>
    <t> -0.022 </t>
  </si>
  <si>
    <t>2428095.718 </t>
  </si>
  <si>
    <t> 20.10.1935 05:13 </t>
  </si>
  <si>
    <t> 0.079 </t>
  </si>
  <si>
    <t>2428122.046 </t>
  </si>
  <si>
    <t> 15.11.1935 13:06 </t>
  </si>
  <si>
    <t> 0.005 </t>
  </si>
  <si>
    <t>2428368.479 </t>
  </si>
  <si>
    <t> 18.07.1936 23:29 </t>
  </si>
  <si>
    <t> 0.016 </t>
  </si>
  <si>
    <t>2434124.210 </t>
  </si>
  <si>
    <t> 21.04.1952 17:02 </t>
  </si>
  <si>
    <t> 0.050 </t>
  </si>
  <si>
    <t>2436306.595 </t>
  </si>
  <si>
    <t> 13.04.1958 02:16 </t>
  </si>
  <si>
    <t> -0.153 </t>
  </si>
  <si>
    <t>P </t>
  </si>
  <si>
    <t> H.Huth </t>
  </si>
  <si>
    <t> MVS 2.123 </t>
  </si>
  <si>
    <t>2436456.368 </t>
  </si>
  <si>
    <t> 09.09.1958 20:49 </t>
  </si>
  <si>
    <t> 0.007 </t>
  </si>
  <si>
    <t>2437107.478 </t>
  </si>
  <si>
    <t> 21.06.1960 23:28 </t>
  </si>
  <si>
    <t> -0.139 </t>
  </si>
  <si>
    <t>2437116.462 </t>
  </si>
  <si>
    <t> 30.06.1960 23:05 </t>
  </si>
  <si>
    <t> 0.044 </t>
  </si>
  <si>
    <t>2437169.374 </t>
  </si>
  <si>
    <t> 22.08.1960 20:58 </t>
  </si>
  <si>
    <t> 0.151 </t>
  </si>
  <si>
    <t>2437820.504 </t>
  </si>
  <si>
    <t> 05.06.1962 00:05 </t>
  </si>
  <si>
    <t> 0.025 </t>
  </si>
  <si>
    <t>2448108.683 </t>
  </si>
  <si>
    <t> 05.08.1990 04:23 </t>
  </si>
  <si>
    <t> 0.116 </t>
  </si>
  <si>
    <t> W.Kriebel </t>
  </si>
  <si>
    <t>BAVM 59 </t>
  </si>
  <si>
    <t>2449129.511 </t>
  </si>
  <si>
    <t> 22.05.1993 00:15 </t>
  </si>
  <si>
    <t> 0.055 </t>
  </si>
  <si>
    <t> J.Vandenbroere </t>
  </si>
  <si>
    <t> BBS 105 </t>
  </si>
  <si>
    <t>2450951.35 </t>
  </si>
  <si>
    <t> 17.05.1998 20:24 </t>
  </si>
  <si>
    <t> 0.14 </t>
  </si>
  <si>
    <t> R.Meyer </t>
  </si>
  <si>
    <t>BAVM 122 </t>
  </si>
  <si>
    <t>2451426.50 </t>
  </si>
  <si>
    <t> 05.09.1999 00:00 </t>
  </si>
  <si>
    <t> 0.05 </t>
  </si>
  <si>
    <t>BAVM 131 </t>
  </si>
  <si>
    <t>2452526.63 </t>
  </si>
  <si>
    <t> 09.09.2002 03:07 </t>
  </si>
  <si>
    <t> 0.08 </t>
  </si>
  <si>
    <t>BAVM 157 </t>
  </si>
  <si>
    <t>2452878.715 </t>
  </si>
  <si>
    <t> 27.08.2003 05:09 </t>
  </si>
  <si>
    <t> 0.136 </t>
  </si>
  <si>
    <t>BAVM 171 </t>
  </si>
  <si>
    <t>2453926.012 </t>
  </si>
  <si>
    <t> 09.07.2006 12:17 </t>
  </si>
  <si>
    <t> 0.142 </t>
  </si>
  <si>
    <t>BAVM 192 </t>
  </si>
  <si>
    <t>2456812.652 </t>
  </si>
  <si>
    <t> 04.06.2014 03:38 </t>
  </si>
  <si>
    <t> 0.133 </t>
  </si>
  <si>
    <t>C </t>
  </si>
  <si>
    <t>-I</t>
  </si>
  <si>
    <t> F.Agerer </t>
  </si>
  <si>
    <t>BAVM 238 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</si>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</sst>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>
      <alignment vertical="top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4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4" fillId="2" borderId="12" xfId="7" applyFill="1" applyBorder="1" applyAlignment="1" applyProtection="1">
      <alignment horizontal="right" vertical="top" wrapText="1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9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Her - O-C Diagr.</a:t>
            </a:r>
          </a:p>
        </c:rich>
      </c:tx>
      <c:layout>
        <c:manualLayout>
          <c:xMode val="edge"/>
          <c:yMode val="edge"/>
          <c:x val="0.3893684194648082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7374263893936"/>
          <c:y val="0.15"/>
          <c:w val="0.83189771896568421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-35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179</c:v>
                </c:pt>
                <c:pt idx="5">
                  <c:v>215</c:v>
                </c:pt>
                <c:pt idx="6">
                  <c:v>217</c:v>
                </c:pt>
                <c:pt idx="7">
                  <c:v>226</c:v>
                </c:pt>
                <c:pt idx="8">
                  <c:v>227</c:v>
                </c:pt>
                <c:pt idx="9">
                  <c:v>257</c:v>
                </c:pt>
                <c:pt idx="10">
                  <c:v>261</c:v>
                </c:pt>
                <c:pt idx="11">
                  <c:v>270</c:v>
                </c:pt>
                <c:pt idx="12">
                  <c:v>273</c:v>
                </c:pt>
                <c:pt idx="13">
                  <c:v>301</c:v>
                </c:pt>
                <c:pt idx="14">
                  <c:v>955</c:v>
                </c:pt>
                <c:pt idx="15">
                  <c:v>1203</c:v>
                </c:pt>
                <c:pt idx="16">
                  <c:v>1220</c:v>
                </c:pt>
                <c:pt idx="17">
                  <c:v>1294</c:v>
                </c:pt>
                <c:pt idx="18">
                  <c:v>1295</c:v>
                </c:pt>
                <c:pt idx="19">
                  <c:v>1301</c:v>
                </c:pt>
                <c:pt idx="20">
                  <c:v>1375</c:v>
                </c:pt>
                <c:pt idx="21">
                  <c:v>2544</c:v>
                </c:pt>
                <c:pt idx="22">
                  <c:v>2660</c:v>
                </c:pt>
                <c:pt idx="23">
                  <c:v>2867</c:v>
                </c:pt>
                <c:pt idx="24">
                  <c:v>2921</c:v>
                </c:pt>
                <c:pt idx="25">
                  <c:v>3046</c:v>
                </c:pt>
                <c:pt idx="26">
                  <c:v>3086</c:v>
                </c:pt>
                <c:pt idx="27">
                  <c:v>3205</c:v>
                </c:pt>
                <c:pt idx="28">
                  <c:v>3533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-1.4000000002852175E-2</c:v>
                </c:pt>
                <c:pt idx="2">
                  <c:v>0</c:v>
                </c:pt>
                <c:pt idx="3">
                  <c:v>-7.5920000002952293E-2</c:v>
                </c:pt>
                <c:pt idx="4">
                  <c:v>-7.0400000040535815E-3</c:v>
                </c:pt>
                <c:pt idx="5">
                  <c:v>1.4599999998608837E-2</c:v>
                </c:pt>
                <c:pt idx="6">
                  <c:v>4.0799999987939373E-3</c:v>
                </c:pt>
                <c:pt idx="7">
                  <c:v>-1.3760000001639128E-2</c:v>
                </c:pt>
                <c:pt idx="8">
                  <c:v>2.3479999999835854E-2</c:v>
                </c:pt>
                <c:pt idx="9">
                  <c:v>2.3679999998421408E-2</c:v>
                </c:pt>
                <c:pt idx="10">
                  <c:v>-2.2360000002663583E-2</c:v>
                </c:pt>
                <c:pt idx="11">
                  <c:v>7.879999999931897E-2</c:v>
                </c:pt>
                <c:pt idx="12">
                  <c:v>4.5199999985925388E-3</c:v>
                </c:pt>
                <c:pt idx="13">
                  <c:v>1.6239999997196719E-2</c:v>
                </c:pt>
                <c:pt idx="14">
                  <c:v>5.0199999997857958E-2</c:v>
                </c:pt>
                <c:pt idx="15">
                  <c:v>-0.15327999999863096</c:v>
                </c:pt>
                <c:pt idx="16">
                  <c:v>6.8000000028405339E-3</c:v>
                </c:pt>
                <c:pt idx="17">
                  <c:v>-0.1394399999990128</c:v>
                </c:pt>
                <c:pt idx="18">
                  <c:v>4.379999999946449E-2</c:v>
                </c:pt>
                <c:pt idx="19">
                  <c:v>0.15123999999923399</c:v>
                </c:pt>
                <c:pt idx="20">
                  <c:v>2.5000000001455192E-2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99-455D-A95D-7BBAC149F9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-35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179</c:v>
                </c:pt>
                <c:pt idx="5">
                  <c:v>215</c:v>
                </c:pt>
                <c:pt idx="6">
                  <c:v>217</c:v>
                </c:pt>
                <c:pt idx="7">
                  <c:v>226</c:v>
                </c:pt>
                <c:pt idx="8">
                  <c:v>227</c:v>
                </c:pt>
                <c:pt idx="9">
                  <c:v>257</c:v>
                </c:pt>
                <c:pt idx="10">
                  <c:v>261</c:v>
                </c:pt>
                <c:pt idx="11">
                  <c:v>270</c:v>
                </c:pt>
                <c:pt idx="12">
                  <c:v>273</c:v>
                </c:pt>
                <c:pt idx="13">
                  <c:v>301</c:v>
                </c:pt>
                <c:pt idx="14">
                  <c:v>955</c:v>
                </c:pt>
                <c:pt idx="15">
                  <c:v>1203</c:v>
                </c:pt>
                <c:pt idx="16">
                  <c:v>1220</c:v>
                </c:pt>
                <c:pt idx="17">
                  <c:v>1294</c:v>
                </c:pt>
                <c:pt idx="18">
                  <c:v>1295</c:v>
                </c:pt>
                <c:pt idx="19">
                  <c:v>1301</c:v>
                </c:pt>
                <c:pt idx="20">
                  <c:v>1375</c:v>
                </c:pt>
                <c:pt idx="21">
                  <c:v>2544</c:v>
                </c:pt>
                <c:pt idx="22">
                  <c:v>2660</c:v>
                </c:pt>
                <c:pt idx="23">
                  <c:v>2867</c:v>
                </c:pt>
                <c:pt idx="24">
                  <c:v>2921</c:v>
                </c:pt>
                <c:pt idx="25">
                  <c:v>3046</c:v>
                </c:pt>
                <c:pt idx="26">
                  <c:v>3086</c:v>
                </c:pt>
                <c:pt idx="27">
                  <c:v>3205</c:v>
                </c:pt>
                <c:pt idx="28">
                  <c:v>3533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-7.3999999985971954E-3</c:v>
                </c:pt>
                <c:pt idx="21">
                  <c:v>0.11555999999836786</c:v>
                </c:pt>
                <c:pt idx="22">
                  <c:v>5.5399999997462146E-2</c:v>
                </c:pt>
                <c:pt idx="23">
                  <c:v>0.13707999999314779</c:v>
                </c:pt>
                <c:pt idx="24">
                  <c:v>4.6040000001084991E-2</c:v>
                </c:pt>
                <c:pt idx="25">
                  <c:v>8.1039999997301493E-2</c:v>
                </c:pt>
                <c:pt idx="26">
                  <c:v>0.13563999999314547</c:v>
                </c:pt>
                <c:pt idx="27">
                  <c:v>0.14220000000204891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99-455D-A95D-7BBAC149F9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-35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179</c:v>
                </c:pt>
                <c:pt idx="5">
                  <c:v>215</c:v>
                </c:pt>
                <c:pt idx="6">
                  <c:v>217</c:v>
                </c:pt>
                <c:pt idx="7">
                  <c:v>226</c:v>
                </c:pt>
                <c:pt idx="8">
                  <c:v>227</c:v>
                </c:pt>
                <c:pt idx="9">
                  <c:v>257</c:v>
                </c:pt>
                <c:pt idx="10">
                  <c:v>261</c:v>
                </c:pt>
                <c:pt idx="11">
                  <c:v>270</c:v>
                </c:pt>
                <c:pt idx="12">
                  <c:v>273</c:v>
                </c:pt>
                <c:pt idx="13">
                  <c:v>301</c:v>
                </c:pt>
                <c:pt idx="14">
                  <c:v>955</c:v>
                </c:pt>
                <c:pt idx="15">
                  <c:v>1203</c:v>
                </c:pt>
                <c:pt idx="16">
                  <c:v>1220</c:v>
                </c:pt>
                <c:pt idx="17">
                  <c:v>1294</c:v>
                </c:pt>
                <c:pt idx="18">
                  <c:v>1295</c:v>
                </c:pt>
                <c:pt idx="19">
                  <c:v>1301</c:v>
                </c:pt>
                <c:pt idx="20">
                  <c:v>1375</c:v>
                </c:pt>
                <c:pt idx="21">
                  <c:v>2544</c:v>
                </c:pt>
                <c:pt idx="22">
                  <c:v>2660</c:v>
                </c:pt>
                <c:pt idx="23">
                  <c:v>2867</c:v>
                </c:pt>
                <c:pt idx="24">
                  <c:v>2921</c:v>
                </c:pt>
                <c:pt idx="25">
                  <c:v>3046</c:v>
                </c:pt>
                <c:pt idx="26">
                  <c:v>3086</c:v>
                </c:pt>
                <c:pt idx="27">
                  <c:v>3205</c:v>
                </c:pt>
                <c:pt idx="28">
                  <c:v>3533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8">
                  <c:v>0.13292000000365078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99-455D-A95D-7BBAC149F9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-35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179</c:v>
                </c:pt>
                <c:pt idx="5">
                  <c:v>215</c:v>
                </c:pt>
                <c:pt idx="6">
                  <c:v>217</c:v>
                </c:pt>
                <c:pt idx="7">
                  <c:v>226</c:v>
                </c:pt>
                <c:pt idx="8">
                  <c:v>227</c:v>
                </c:pt>
                <c:pt idx="9">
                  <c:v>257</c:v>
                </c:pt>
                <c:pt idx="10">
                  <c:v>261</c:v>
                </c:pt>
                <c:pt idx="11">
                  <c:v>270</c:v>
                </c:pt>
                <c:pt idx="12">
                  <c:v>273</c:v>
                </c:pt>
                <c:pt idx="13">
                  <c:v>301</c:v>
                </c:pt>
                <c:pt idx="14">
                  <c:v>955</c:v>
                </c:pt>
                <c:pt idx="15">
                  <c:v>1203</c:v>
                </c:pt>
                <c:pt idx="16">
                  <c:v>1220</c:v>
                </c:pt>
                <c:pt idx="17">
                  <c:v>1294</c:v>
                </c:pt>
                <c:pt idx="18">
                  <c:v>1295</c:v>
                </c:pt>
                <c:pt idx="19">
                  <c:v>1301</c:v>
                </c:pt>
                <c:pt idx="20">
                  <c:v>1375</c:v>
                </c:pt>
                <c:pt idx="21">
                  <c:v>2544</c:v>
                </c:pt>
                <c:pt idx="22">
                  <c:v>2660</c:v>
                </c:pt>
                <c:pt idx="23">
                  <c:v>2867</c:v>
                </c:pt>
                <c:pt idx="24">
                  <c:v>2921</c:v>
                </c:pt>
                <c:pt idx="25">
                  <c:v>3046</c:v>
                </c:pt>
                <c:pt idx="26">
                  <c:v>3086</c:v>
                </c:pt>
                <c:pt idx="27">
                  <c:v>3205</c:v>
                </c:pt>
                <c:pt idx="28">
                  <c:v>3533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99-455D-A95D-7BBAC149F9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-35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179</c:v>
                </c:pt>
                <c:pt idx="5">
                  <c:v>215</c:v>
                </c:pt>
                <c:pt idx="6">
                  <c:v>217</c:v>
                </c:pt>
                <c:pt idx="7">
                  <c:v>226</c:v>
                </c:pt>
                <c:pt idx="8">
                  <c:v>227</c:v>
                </c:pt>
                <c:pt idx="9">
                  <c:v>257</c:v>
                </c:pt>
                <c:pt idx="10">
                  <c:v>261</c:v>
                </c:pt>
                <c:pt idx="11">
                  <c:v>270</c:v>
                </c:pt>
                <c:pt idx="12">
                  <c:v>273</c:v>
                </c:pt>
                <c:pt idx="13">
                  <c:v>301</c:v>
                </c:pt>
                <c:pt idx="14">
                  <c:v>955</c:v>
                </c:pt>
                <c:pt idx="15">
                  <c:v>1203</c:v>
                </c:pt>
                <c:pt idx="16">
                  <c:v>1220</c:v>
                </c:pt>
                <c:pt idx="17">
                  <c:v>1294</c:v>
                </c:pt>
                <c:pt idx="18">
                  <c:v>1295</c:v>
                </c:pt>
                <c:pt idx="19">
                  <c:v>1301</c:v>
                </c:pt>
                <c:pt idx="20">
                  <c:v>1375</c:v>
                </c:pt>
                <c:pt idx="21">
                  <c:v>2544</c:v>
                </c:pt>
                <c:pt idx="22">
                  <c:v>2660</c:v>
                </c:pt>
                <c:pt idx="23">
                  <c:v>2867</c:v>
                </c:pt>
                <c:pt idx="24">
                  <c:v>2921</c:v>
                </c:pt>
                <c:pt idx="25">
                  <c:v>3046</c:v>
                </c:pt>
                <c:pt idx="26">
                  <c:v>3086</c:v>
                </c:pt>
                <c:pt idx="27">
                  <c:v>3205</c:v>
                </c:pt>
                <c:pt idx="28">
                  <c:v>3533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99-455D-A95D-7BBAC149F9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-35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179</c:v>
                </c:pt>
                <c:pt idx="5">
                  <c:v>215</c:v>
                </c:pt>
                <c:pt idx="6">
                  <c:v>217</c:v>
                </c:pt>
                <c:pt idx="7">
                  <c:v>226</c:v>
                </c:pt>
                <c:pt idx="8">
                  <c:v>227</c:v>
                </c:pt>
                <c:pt idx="9">
                  <c:v>257</c:v>
                </c:pt>
                <c:pt idx="10">
                  <c:v>261</c:v>
                </c:pt>
                <c:pt idx="11">
                  <c:v>270</c:v>
                </c:pt>
                <c:pt idx="12">
                  <c:v>273</c:v>
                </c:pt>
                <c:pt idx="13">
                  <c:v>301</c:v>
                </c:pt>
                <c:pt idx="14">
                  <c:v>955</c:v>
                </c:pt>
                <c:pt idx="15">
                  <c:v>1203</c:v>
                </c:pt>
                <c:pt idx="16">
                  <c:v>1220</c:v>
                </c:pt>
                <c:pt idx="17">
                  <c:v>1294</c:v>
                </c:pt>
                <c:pt idx="18">
                  <c:v>1295</c:v>
                </c:pt>
                <c:pt idx="19">
                  <c:v>1301</c:v>
                </c:pt>
                <c:pt idx="20">
                  <c:v>1375</c:v>
                </c:pt>
                <c:pt idx="21">
                  <c:v>2544</c:v>
                </c:pt>
                <c:pt idx="22">
                  <c:v>2660</c:v>
                </c:pt>
                <c:pt idx="23">
                  <c:v>2867</c:v>
                </c:pt>
                <c:pt idx="24">
                  <c:v>2921</c:v>
                </c:pt>
                <c:pt idx="25">
                  <c:v>3046</c:v>
                </c:pt>
                <c:pt idx="26">
                  <c:v>3086</c:v>
                </c:pt>
                <c:pt idx="27">
                  <c:v>3205</c:v>
                </c:pt>
                <c:pt idx="28">
                  <c:v>3533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99-455D-A95D-7BBAC149F9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22">
                    <c:v>8.0000000000000002E-3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-35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179</c:v>
                </c:pt>
                <c:pt idx="5">
                  <c:v>215</c:v>
                </c:pt>
                <c:pt idx="6">
                  <c:v>217</c:v>
                </c:pt>
                <c:pt idx="7">
                  <c:v>226</c:v>
                </c:pt>
                <c:pt idx="8">
                  <c:v>227</c:v>
                </c:pt>
                <c:pt idx="9">
                  <c:v>257</c:v>
                </c:pt>
                <c:pt idx="10">
                  <c:v>261</c:v>
                </c:pt>
                <c:pt idx="11">
                  <c:v>270</c:v>
                </c:pt>
                <c:pt idx="12">
                  <c:v>273</c:v>
                </c:pt>
                <c:pt idx="13">
                  <c:v>301</c:v>
                </c:pt>
                <c:pt idx="14">
                  <c:v>955</c:v>
                </c:pt>
                <c:pt idx="15">
                  <c:v>1203</c:v>
                </c:pt>
                <c:pt idx="16">
                  <c:v>1220</c:v>
                </c:pt>
                <c:pt idx="17">
                  <c:v>1294</c:v>
                </c:pt>
                <c:pt idx="18">
                  <c:v>1295</c:v>
                </c:pt>
                <c:pt idx="19">
                  <c:v>1301</c:v>
                </c:pt>
                <c:pt idx="20">
                  <c:v>1375</c:v>
                </c:pt>
                <c:pt idx="21">
                  <c:v>2544</c:v>
                </c:pt>
                <c:pt idx="22">
                  <c:v>2660</c:v>
                </c:pt>
                <c:pt idx="23">
                  <c:v>2867</c:v>
                </c:pt>
                <c:pt idx="24">
                  <c:v>2921</c:v>
                </c:pt>
                <c:pt idx="25">
                  <c:v>3046</c:v>
                </c:pt>
                <c:pt idx="26">
                  <c:v>3086</c:v>
                </c:pt>
                <c:pt idx="27">
                  <c:v>3205</c:v>
                </c:pt>
                <c:pt idx="28">
                  <c:v>3533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99-455D-A95D-7BBAC149F9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-35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179</c:v>
                </c:pt>
                <c:pt idx="5">
                  <c:v>215</c:v>
                </c:pt>
                <c:pt idx="6">
                  <c:v>217</c:v>
                </c:pt>
                <c:pt idx="7">
                  <c:v>226</c:v>
                </c:pt>
                <c:pt idx="8">
                  <c:v>227</c:v>
                </c:pt>
                <c:pt idx="9">
                  <c:v>257</c:v>
                </c:pt>
                <c:pt idx="10">
                  <c:v>261</c:v>
                </c:pt>
                <c:pt idx="11">
                  <c:v>270</c:v>
                </c:pt>
                <c:pt idx="12">
                  <c:v>273</c:v>
                </c:pt>
                <c:pt idx="13">
                  <c:v>301</c:v>
                </c:pt>
                <c:pt idx="14">
                  <c:v>955</c:v>
                </c:pt>
                <c:pt idx="15">
                  <c:v>1203</c:v>
                </c:pt>
                <c:pt idx="16">
                  <c:v>1220</c:v>
                </c:pt>
                <c:pt idx="17">
                  <c:v>1294</c:v>
                </c:pt>
                <c:pt idx="18">
                  <c:v>1295</c:v>
                </c:pt>
                <c:pt idx="19">
                  <c:v>1301</c:v>
                </c:pt>
                <c:pt idx="20">
                  <c:v>1375</c:v>
                </c:pt>
                <c:pt idx="21">
                  <c:v>2544</c:v>
                </c:pt>
                <c:pt idx="22">
                  <c:v>2660</c:v>
                </c:pt>
                <c:pt idx="23">
                  <c:v>2867</c:v>
                </c:pt>
                <c:pt idx="24">
                  <c:v>2921</c:v>
                </c:pt>
                <c:pt idx="25">
                  <c:v>3046</c:v>
                </c:pt>
                <c:pt idx="26">
                  <c:v>3086</c:v>
                </c:pt>
                <c:pt idx="27">
                  <c:v>3205</c:v>
                </c:pt>
                <c:pt idx="28">
                  <c:v>3533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-1.6896490689159577E-2</c:v>
                </c:pt>
                <c:pt idx="1">
                  <c:v>-1.5588845824888353E-2</c:v>
                </c:pt>
                <c:pt idx="2">
                  <c:v>-1.5588845824888353E-2</c:v>
                </c:pt>
                <c:pt idx="3">
                  <c:v>-1.2151607895946845E-2</c:v>
                </c:pt>
                <c:pt idx="4">
                  <c:v>-8.9011763761869395E-3</c:v>
                </c:pt>
                <c:pt idx="5">
                  <c:v>-7.5561702300793922E-3</c:v>
                </c:pt>
                <c:pt idx="6">
                  <c:v>-7.4814476664067514E-3</c:v>
                </c:pt>
                <c:pt idx="7">
                  <c:v>-7.145196129879865E-3</c:v>
                </c:pt>
                <c:pt idx="8">
                  <c:v>-7.1078348480435437E-3</c:v>
                </c:pt>
                <c:pt idx="9">
                  <c:v>-5.9869963929539208E-3</c:v>
                </c:pt>
                <c:pt idx="10">
                  <c:v>-5.8375512656086391E-3</c:v>
                </c:pt>
                <c:pt idx="11">
                  <c:v>-5.501299729081751E-3</c:v>
                </c:pt>
                <c:pt idx="12">
                  <c:v>-5.3892158835727889E-3</c:v>
                </c:pt>
                <c:pt idx="13">
                  <c:v>-4.3430999921558085E-3</c:v>
                </c:pt>
                <c:pt idx="14">
                  <c:v>2.0091178328797959E-2</c:v>
                </c:pt>
                <c:pt idx="15">
                  <c:v>2.9356776224205506E-2</c:v>
                </c:pt>
                <c:pt idx="16">
                  <c:v>2.9991918015422957E-2</c:v>
                </c:pt>
                <c:pt idx="17">
                  <c:v>3.2756652871310687E-2</c:v>
                </c:pt>
                <c:pt idx="18">
                  <c:v>3.2794014153147005E-2</c:v>
                </c:pt>
                <c:pt idx="19">
                  <c:v>3.301818184416494E-2</c:v>
                </c:pt>
                <c:pt idx="20">
                  <c:v>3.5782916700052667E-2</c:v>
                </c:pt>
                <c:pt idx="21">
                  <c:v>7.9458255166711622E-2</c:v>
                </c:pt>
                <c:pt idx="22">
                  <c:v>8.3792163859724822E-2</c:v>
                </c:pt>
                <c:pt idx="23">
                  <c:v>9.1525949199843221E-2</c:v>
                </c:pt>
                <c:pt idx="24">
                  <c:v>9.3543458419004535E-2</c:v>
                </c:pt>
                <c:pt idx="25">
                  <c:v>9.8213618648544637E-2</c:v>
                </c:pt>
                <c:pt idx="26">
                  <c:v>9.9708069921997461E-2</c:v>
                </c:pt>
                <c:pt idx="27">
                  <c:v>0.10415406246051963</c:v>
                </c:pt>
                <c:pt idx="28">
                  <c:v>0.11640856290283284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99-455D-A95D-7BBAC149F9B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-35</c:v>
                </c:pt>
                <c:pt idx="1">
                  <c:v>0</c:v>
                </c:pt>
                <c:pt idx="2">
                  <c:v>0</c:v>
                </c:pt>
                <c:pt idx="3">
                  <c:v>92</c:v>
                </c:pt>
                <c:pt idx="4">
                  <c:v>179</c:v>
                </c:pt>
                <c:pt idx="5">
                  <c:v>215</c:v>
                </c:pt>
                <c:pt idx="6">
                  <c:v>217</c:v>
                </c:pt>
                <c:pt idx="7">
                  <c:v>226</c:v>
                </c:pt>
                <c:pt idx="8">
                  <c:v>227</c:v>
                </c:pt>
                <c:pt idx="9">
                  <c:v>257</c:v>
                </c:pt>
                <c:pt idx="10">
                  <c:v>261</c:v>
                </c:pt>
                <c:pt idx="11">
                  <c:v>270</c:v>
                </c:pt>
                <c:pt idx="12">
                  <c:v>273</c:v>
                </c:pt>
                <c:pt idx="13">
                  <c:v>301</c:v>
                </c:pt>
                <c:pt idx="14">
                  <c:v>955</c:v>
                </c:pt>
                <c:pt idx="15">
                  <c:v>1203</c:v>
                </c:pt>
                <c:pt idx="16">
                  <c:v>1220</c:v>
                </c:pt>
                <c:pt idx="17">
                  <c:v>1294</c:v>
                </c:pt>
                <c:pt idx="18">
                  <c:v>1295</c:v>
                </c:pt>
                <c:pt idx="19">
                  <c:v>1301</c:v>
                </c:pt>
                <c:pt idx="20">
                  <c:v>1375</c:v>
                </c:pt>
                <c:pt idx="21">
                  <c:v>2544</c:v>
                </c:pt>
                <c:pt idx="22">
                  <c:v>2660</c:v>
                </c:pt>
                <c:pt idx="23">
                  <c:v>2867</c:v>
                </c:pt>
                <c:pt idx="24">
                  <c:v>2921</c:v>
                </c:pt>
                <c:pt idx="25">
                  <c:v>3046</c:v>
                </c:pt>
                <c:pt idx="26">
                  <c:v>3086</c:v>
                </c:pt>
                <c:pt idx="27">
                  <c:v>3205</c:v>
                </c:pt>
                <c:pt idx="28">
                  <c:v>3533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99-455D-A95D-7BBAC149F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047520"/>
        <c:axId val="1"/>
      </c:scatterChart>
      <c:valAx>
        <c:axId val="556047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6282318158506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13793103448273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047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14972697378344"/>
          <c:y val="0.91874999999999996"/>
          <c:w val="0.6910928590822698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57150</xdr:rowOff>
    </xdr:from>
    <xdr:to>
      <xdr:col>17</xdr:col>
      <xdr:colOff>495300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285243-EAE5-5EC1-DA57-AC0C308D3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31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122" TargetMode="External"/><Relationship Id="rId1" Type="http://schemas.openxmlformats.org/officeDocument/2006/relationships/hyperlink" Target="http://www.bav-astro.de/sfs/BAVM_link.php?BAVMnr=59" TargetMode="External"/><Relationship Id="rId6" Type="http://schemas.openxmlformats.org/officeDocument/2006/relationships/hyperlink" Target="http://www.bav-astro.de/sfs/BAVM_link.php?BAVMnr=192" TargetMode="External"/><Relationship Id="rId5" Type="http://schemas.openxmlformats.org/officeDocument/2006/relationships/hyperlink" Target="http://www.bav-astro.de/sfs/BAVM_link.php?BAVMnr=171" TargetMode="External"/><Relationship Id="rId4" Type="http://schemas.openxmlformats.org/officeDocument/2006/relationships/hyperlink" Target="http://www.bav-astro.de/sfs/BAVM_link.php?BAVMnr=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17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M33" sqref="M3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39</v>
      </c>
    </row>
    <row r="2" spans="1:6">
      <c r="A2" t="s">
        <v>25</v>
      </c>
      <c r="B2" s="16" t="s">
        <v>38</v>
      </c>
    </row>
    <row r="4" spans="1:6">
      <c r="A4" s="8" t="s">
        <v>0</v>
      </c>
      <c r="C4" s="3">
        <v>25719.434000000001</v>
      </c>
      <c r="D4" s="4">
        <v>8.8007600000000004</v>
      </c>
    </row>
    <row r="5" spans="1:6">
      <c r="A5" s="36" t="s">
        <v>161</v>
      </c>
      <c r="B5" s="20"/>
      <c r="C5" s="37">
        <v>-9.5</v>
      </c>
      <c r="D5" s="20" t="s">
        <v>162</v>
      </c>
    </row>
    <row r="6" spans="1:6">
      <c r="A6" s="8" t="s">
        <v>1</v>
      </c>
    </row>
    <row r="7" spans="1:6">
      <c r="A7" t="s">
        <v>2</v>
      </c>
      <c r="C7">
        <f>+C4</f>
        <v>25719.434000000001</v>
      </c>
    </row>
    <row r="8" spans="1:6">
      <c r="A8" t="s">
        <v>3</v>
      </c>
      <c r="C8">
        <f>+D4</f>
        <v>8.8007600000000004</v>
      </c>
    </row>
    <row r="9" spans="1:6">
      <c r="A9" s="38" t="s">
        <v>163</v>
      </c>
      <c r="B9" s="39">
        <v>21</v>
      </c>
      <c r="C9" s="40" t="str">
        <f>"F"&amp;B9</f>
        <v>F21</v>
      </c>
      <c r="D9" s="41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42">
        <f ca="1">INTERCEPT(INDIRECT($D$9):G978,INDIRECT($C$9):F978)</f>
        <v>-1.5588845824888353E-2</v>
      </c>
      <c r="D11" s="6"/>
    </row>
    <row r="12" spans="1:6">
      <c r="A12" t="s">
        <v>17</v>
      </c>
      <c r="C12" s="42">
        <f ca="1">SLOPE(INDIRECT($D$9):G978,INDIRECT($C$9):F978)</f>
        <v>3.7361281836320744E-5</v>
      </c>
      <c r="D12" s="6"/>
    </row>
    <row r="13" spans="1:6">
      <c r="A13" t="s">
        <v>19</v>
      </c>
      <c r="C13" s="6" t="s">
        <v>14</v>
      </c>
      <c r="D13" s="6"/>
    </row>
    <row r="14" spans="1:6">
      <c r="A14" t="s">
        <v>24</v>
      </c>
    </row>
    <row r="15" spans="1:6">
      <c r="A15" s="5" t="s">
        <v>18</v>
      </c>
      <c r="C15" s="11">
        <f ca="1">(C7+C11)+(C8+C12)*INT(MAX(F21:F3533))</f>
        <v>56812.635488562912</v>
      </c>
      <c r="E15" s="43" t="s">
        <v>164</v>
      </c>
      <c r="F15" s="37">
        <v>1</v>
      </c>
    </row>
    <row r="16" spans="1:6">
      <c r="A16" s="8" t="s">
        <v>4</v>
      </c>
      <c r="C16" s="12">
        <f ca="1">+C8+C12</f>
        <v>8.8007973612818375</v>
      </c>
      <c r="E16" s="43" t="s">
        <v>165</v>
      </c>
      <c r="F16" s="44">
        <f ca="1">NOW()+15018.5+$C$5/24</f>
        <v>60352.737287152777</v>
      </c>
    </row>
    <row r="17" spans="1:32" ht="13.5" thickBot="1">
      <c r="A17" s="13" t="s">
        <v>37</v>
      </c>
      <c r="C17">
        <f>COUNT(C21:C2191)</f>
        <v>29</v>
      </c>
      <c r="E17" s="43" t="s">
        <v>166</v>
      </c>
      <c r="F17" s="44">
        <f ca="1">ROUND(2*(F16-$C$7)/$C$8,0)/2+F15</f>
        <v>3936.5</v>
      </c>
    </row>
    <row r="18" spans="1:32">
      <c r="A18" s="8" t="s">
        <v>5</v>
      </c>
      <c r="C18" s="3">
        <f ca="1">+C15</f>
        <v>56812.635488562912</v>
      </c>
      <c r="D18" s="4">
        <f ca="1">+C16</f>
        <v>8.8007973612818375</v>
      </c>
      <c r="E18" s="43" t="s">
        <v>167</v>
      </c>
      <c r="F18" s="41">
        <f ca="1">ROUND(2*(F16-$C$15)/$C$16,0)/2+F15</f>
        <v>403</v>
      </c>
    </row>
    <row r="19" spans="1:32" ht="13.5" thickTop="1">
      <c r="E19" s="43" t="s">
        <v>168</v>
      </c>
      <c r="F19" s="45">
        <f ca="1">+$C$15+$C$16*F18-15018.5-$C$5/24</f>
        <v>45341.252658492827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32</v>
      </c>
      <c r="I20" s="10" t="s">
        <v>51</v>
      </c>
      <c r="J20" s="10" t="s">
        <v>46</v>
      </c>
      <c r="K20" s="10" t="s">
        <v>44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U20" s="46" t="s">
        <v>169</v>
      </c>
    </row>
    <row r="21" spans="1:32">
      <c r="A21" s="33" t="s">
        <v>57</v>
      </c>
      <c r="B21" s="35" t="s">
        <v>41</v>
      </c>
      <c r="C21" s="34">
        <v>25411.4</v>
      </c>
      <c r="D21" s="34" t="s">
        <v>51</v>
      </c>
      <c r="E21">
        <f t="shared" ref="E21:E49" si="0">+(C21-C$7)/C$8</f>
        <v>-35.000840836473174</v>
      </c>
      <c r="F21">
        <f t="shared" ref="F21:F49" si="1">ROUND(2*E21,0)/2</f>
        <v>-35</v>
      </c>
      <c r="G21">
        <f t="shared" ref="G21:G49" si="2">+C21-(C$7+F21*C$8)</f>
        <v>-7.3999999985971954E-3</v>
      </c>
      <c r="I21">
        <f>+G21</f>
        <v>-7.3999999985971954E-3</v>
      </c>
      <c r="O21">
        <f t="shared" ref="O21:O49" ca="1" si="3">+C$11+C$12*F21</f>
        <v>-1.6896490689159577E-2</v>
      </c>
      <c r="Q21" s="2">
        <f t="shared" ref="Q21:Q49" si="4">+C21-15018.5</f>
        <v>10392.900000000001</v>
      </c>
    </row>
    <row r="22" spans="1:32">
      <c r="A22" t="s">
        <v>30</v>
      </c>
      <c r="C22" s="15">
        <v>25719.42</v>
      </c>
      <c r="D22" s="14"/>
      <c r="E22">
        <f t="shared" si="0"/>
        <v>-1.5907717064040123E-3</v>
      </c>
      <c r="F22">
        <f t="shared" si="1"/>
        <v>0</v>
      </c>
      <c r="G22">
        <f t="shared" si="2"/>
        <v>-1.4000000002852175E-2</v>
      </c>
      <c r="H22">
        <f t="shared" ref="H21:H41" si="5">+G22</f>
        <v>-1.4000000002852175E-2</v>
      </c>
      <c r="O22">
        <f t="shared" ca="1" si="3"/>
        <v>-1.5588845824888353E-2</v>
      </c>
      <c r="Q22" s="2">
        <f t="shared" si="4"/>
        <v>10700.919999999998</v>
      </c>
      <c r="AA22" t="s">
        <v>29</v>
      </c>
      <c r="AF22" t="s">
        <v>31</v>
      </c>
    </row>
    <row r="23" spans="1:32">
      <c r="A23" t="s">
        <v>12</v>
      </c>
      <c r="C23" s="14">
        <v>25719.434000000001</v>
      </c>
      <c r="D23" s="14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H23">
        <f t="shared" si="5"/>
        <v>0</v>
      </c>
      <c r="O23">
        <f t="shared" ca="1" si="3"/>
        <v>-1.5588845824888353E-2</v>
      </c>
      <c r="Q23" s="2">
        <f t="shared" si="4"/>
        <v>10700.934000000001</v>
      </c>
    </row>
    <row r="24" spans="1:32">
      <c r="A24" t="s">
        <v>30</v>
      </c>
      <c r="C24" s="15">
        <v>26529.027999999998</v>
      </c>
      <c r="D24" s="14"/>
      <c r="E24">
        <f t="shared" si="0"/>
        <v>91.991373472290718</v>
      </c>
      <c r="F24">
        <f t="shared" si="1"/>
        <v>92</v>
      </c>
      <c r="G24">
        <f t="shared" si="2"/>
        <v>-7.5920000002952293E-2</v>
      </c>
      <c r="H24">
        <f t="shared" si="5"/>
        <v>-7.5920000002952293E-2</v>
      </c>
      <c r="O24">
        <f t="shared" ca="1" si="3"/>
        <v>-1.2151607895946845E-2</v>
      </c>
      <c r="Q24" s="2">
        <f t="shared" si="4"/>
        <v>11510.527999999998</v>
      </c>
      <c r="AA24" t="s">
        <v>29</v>
      </c>
      <c r="AF24" t="s">
        <v>31</v>
      </c>
    </row>
    <row r="25" spans="1:32">
      <c r="A25" t="s">
        <v>30</v>
      </c>
      <c r="C25" s="15">
        <v>27294.762999999999</v>
      </c>
      <c r="D25" s="14"/>
      <c r="E25">
        <f t="shared" si="0"/>
        <v>178.99920006908471</v>
      </c>
      <c r="F25">
        <f t="shared" si="1"/>
        <v>179</v>
      </c>
      <c r="G25">
        <f t="shared" si="2"/>
        <v>-7.0400000040535815E-3</v>
      </c>
      <c r="H25">
        <f t="shared" si="5"/>
        <v>-7.0400000040535815E-3</v>
      </c>
      <c r="O25">
        <f t="shared" ca="1" si="3"/>
        <v>-8.9011763761869395E-3</v>
      </c>
      <c r="Q25" s="2">
        <f t="shared" si="4"/>
        <v>12276.262999999999</v>
      </c>
      <c r="AA25" t="s">
        <v>29</v>
      </c>
      <c r="AF25" t="s">
        <v>31</v>
      </c>
    </row>
    <row r="26" spans="1:32">
      <c r="A26" t="s">
        <v>30</v>
      </c>
      <c r="C26" s="15">
        <v>27611.612000000001</v>
      </c>
      <c r="D26" s="14"/>
      <c r="E26">
        <f t="shared" si="0"/>
        <v>215.00165894763632</v>
      </c>
      <c r="F26">
        <f t="shared" si="1"/>
        <v>215</v>
      </c>
      <c r="G26">
        <f t="shared" si="2"/>
        <v>1.4599999998608837E-2</v>
      </c>
      <c r="H26">
        <f t="shared" si="5"/>
        <v>1.4599999998608837E-2</v>
      </c>
      <c r="O26">
        <f t="shared" ca="1" si="3"/>
        <v>-7.5561702300793922E-3</v>
      </c>
      <c r="Q26" s="2">
        <f t="shared" si="4"/>
        <v>12593.112000000001</v>
      </c>
      <c r="AA26" t="s">
        <v>29</v>
      </c>
      <c r="AF26" t="s">
        <v>31</v>
      </c>
    </row>
    <row r="27" spans="1:32">
      <c r="A27" t="s">
        <v>30</v>
      </c>
      <c r="C27" s="15">
        <v>27629.203000000001</v>
      </c>
      <c r="D27" s="14"/>
      <c r="E27">
        <f t="shared" si="0"/>
        <v>217.0004635963258</v>
      </c>
      <c r="F27">
        <f t="shared" si="1"/>
        <v>217</v>
      </c>
      <c r="G27">
        <f t="shared" si="2"/>
        <v>4.0799999987939373E-3</v>
      </c>
      <c r="H27">
        <f t="shared" si="5"/>
        <v>4.0799999987939373E-3</v>
      </c>
      <c r="O27">
        <f t="shared" ca="1" si="3"/>
        <v>-7.4814476664067514E-3</v>
      </c>
      <c r="Q27" s="2">
        <f t="shared" si="4"/>
        <v>12610.703000000001</v>
      </c>
      <c r="AA27" t="s">
        <v>29</v>
      </c>
      <c r="AF27" t="s">
        <v>31</v>
      </c>
    </row>
    <row r="28" spans="1:32">
      <c r="A28" t="s">
        <v>30</v>
      </c>
      <c r="C28" s="15">
        <v>27708.392</v>
      </c>
      <c r="D28" s="14"/>
      <c r="E28">
        <f t="shared" si="0"/>
        <v>225.99843649866588</v>
      </c>
      <c r="F28">
        <f t="shared" si="1"/>
        <v>226</v>
      </c>
      <c r="G28">
        <f t="shared" si="2"/>
        <v>-1.3760000001639128E-2</v>
      </c>
      <c r="H28">
        <f t="shared" si="5"/>
        <v>-1.3760000001639128E-2</v>
      </c>
      <c r="O28">
        <f t="shared" ca="1" si="3"/>
        <v>-7.145196129879865E-3</v>
      </c>
      <c r="Q28" s="2">
        <f t="shared" si="4"/>
        <v>12689.892</v>
      </c>
      <c r="AA28" t="s">
        <v>29</v>
      </c>
      <c r="AF28" t="s">
        <v>31</v>
      </c>
    </row>
    <row r="29" spans="1:32">
      <c r="A29" t="s">
        <v>30</v>
      </c>
      <c r="C29" s="15">
        <v>27717.23</v>
      </c>
      <c r="D29" s="14"/>
      <c r="E29">
        <f t="shared" si="0"/>
        <v>227.00266795140402</v>
      </c>
      <c r="F29">
        <f t="shared" si="1"/>
        <v>227</v>
      </c>
      <c r="G29">
        <f t="shared" si="2"/>
        <v>2.3479999999835854E-2</v>
      </c>
      <c r="H29">
        <f t="shared" si="5"/>
        <v>2.3479999999835854E-2</v>
      </c>
      <c r="O29">
        <f t="shared" ca="1" si="3"/>
        <v>-7.1078348480435437E-3</v>
      </c>
      <c r="Q29" s="2">
        <f t="shared" si="4"/>
        <v>12698.73</v>
      </c>
      <c r="AA29" t="s">
        <v>29</v>
      </c>
      <c r="AF29" t="s">
        <v>31</v>
      </c>
    </row>
    <row r="30" spans="1:32">
      <c r="A30" t="s">
        <v>30</v>
      </c>
      <c r="C30" s="15">
        <v>27981.253000000001</v>
      </c>
      <c r="D30" s="14"/>
      <c r="E30">
        <f t="shared" si="0"/>
        <v>257.00269067671422</v>
      </c>
      <c r="F30">
        <f t="shared" si="1"/>
        <v>257</v>
      </c>
      <c r="G30">
        <f t="shared" si="2"/>
        <v>2.3679999998421408E-2</v>
      </c>
      <c r="H30">
        <f t="shared" si="5"/>
        <v>2.3679999998421408E-2</v>
      </c>
      <c r="O30">
        <f t="shared" ca="1" si="3"/>
        <v>-5.9869963929539208E-3</v>
      </c>
      <c r="Q30" s="2">
        <f t="shared" si="4"/>
        <v>12962.753000000001</v>
      </c>
      <c r="AA30" t="s">
        <v>29</v>
      </c>
      <c r="AF30" t="s">
        <v>31</v>
      </c>
    </row>
    <row r="31" spans="1:32">
      <c r="A31" t="s">
        <v>30</v>
      </c>
      <c r="C31" s="15">
        <v>28016.41</v>
      </c>
      <c r="D31" s="14"/>
      <c r="E31">
        <f t="shared" si="0"/>
        <v>260.99745931033215</v>
      </c>
      <c r="F31">
        <f t="shared" si="1"/>
        <v>261</v>
      </c>
      <c r="G31">
        <f t="shared" si="2"/>
        <v>-2.2360000002663583E-2</v>
      </c>
      <c r="H31">
        <f t="shared" si="5"/>
        <v>-2.2360000002663583E-2</v>
      </c>
      <c r="O31">
        <f t="shared" ca="1" si="3"/>
        <v>-5.8375512656086391E-3</v>
      </c>
      <c r="Q31" s="2">
        <f t="shared" si="4"/>
        <v>12997.91</v>
      </c>
      <c r="AA31" t="s">
        <v>29</v>
      </c>
      <c r="AF31" t="s">
        <v>31</v>
      </c>
    </row>
    <row r="32" spans="1:32">
      <c r="A32" t="s">
        <v>30</v>
      </c>
      <c r="C32" s="15">
        <v>28095.718000000001</v>
      </c>
      <c r="D32" s="14"/>
      <c r="E32">
        <f t="shared" si="0"/>
        <v>270.00895377217415</v>
      </c>
      <c r="F32">
        <f t="shared" si="1"/>
        <v>270</v>
      </c>
      <c r="G32">
        <f t="shared" si="2"/>
        <v>7.879999999931897E-2</v>
      </c>
      <c r="H32">
        <f t="shared" si="5"/>
        <v>7.879999999931897E-2</v>
      </c>
      <c r="O32">
        <f t="shared" ca="1" si="3"/>
        <v>-5.501299729081751E-3</v>
      </c>
      <c r="Q32" s="2">
        <f t="shared" si="4"/>
        <v>13077.218000000001</v>
      </c>
      <c r="AA32" t="s">
        <v>29</v>
      </c>
      <c r="AF32" t="s">
        <v>31</v>
      </c>
    </row>
    <row r="33" spans="1:32">
      <c r="A33" t="s">
        <v>30</v>
      </c>
      <c r="C33" s="15">
        <v>28122.045999999998</v>
      </c>
      <c r="D33" s="14"/>
      <c r="E33">
        <f t="shared" si="0"/>
        <v>273.00051359200768</v>
      </c>
      <c r="F33">
        <f t="shared" si="1"/>
        <v>273</v>
      </c>
      <c r="G33">
        <f t="shared" si="2"/>
        <v>4.5199999985925388E-3</v>
      </c>
      <c r="H33">
        <f t="shared" si="5"/>
        <v>4.5199999985925388E-3</v>
      </c>
      <c r="O33">
        <f t="shared" ca="1" si="3"/>
        <v>-5.3892158835727889E-3</v>
      </c>
      <c r="Q33" s="2">
        <f t="shared" si="4"/>
        <v>13103.545999999998</v>
      </c>
      <c r="AA33" t="s">
        <v>29</v>
      </c>
      <c r="AF33" t="s">
        <v>31</v>
      </c>
    </row>
    <row r="34" spans="1:32">
      <c r="A34" t="s">
        <v>30</v>
      </c>
      <c r="C34" s="15">
        <v>28368.478999999999</v>
      </c>
      <c r="D34" s="14"/>
      <c r="E34">
        <f t="shared" si="0"/>
        <v>301.00184529517884</v>
      </c>
      <c r="F34">
        <f t="shared" si="1"/>
        <v>301</v>
      </c>
      <c r="G34">
        <f t="shared" si="2"/>
        <v>1.6239999997196719E-2</v>
      </c>
      <c r="H34">
        <f t="shared" si="5"/>
        <v>1.6239999997196719E-2</v>
      </c>
      <c r="O34">
        <f t="shared" ca="1" si="3"/>
        <v>-4.3430999921558085E-3</v>
      </c>
      <c r="Q34" s="2">
        <f t="shared" si="4"/>
        <v>13349.978999999999</v>
      </c>
      <c r="AA34" t="s">
        <v>29</v>
      </c>
      <c r="AF34" t="s">
        <v>31</v>
      </c>
    </row>
    <row r="35" spans="1:32">
      <c r="A35" t="s">
        <v>30</v>
      </c>
      <c r="C35" s="15">
        <v>34124.21</v>
      </c>
      <c r="D35" s="14"/>
      <c r="E35">
        <f t="shared" si="0"/>
        <v>955.00570405283156</v>
      </c>
      <c r="F35">
        <f t="shared" si="1"/>
        <v>955</v>
      </c>
      <c r="G35">
        <f t="shared" si="2"/>
        <v>5.0199999997857958E-2</v>
      </c>
      <c r="H35">
        <f t="shared" si="5"/>
        <v>5.0199999997857958E-2</v>
      </c>
      <c r="O35">
        <f t="shared" ca="1" si="3"/>
        <v>2.0091178328797959E-2</v>
      </c>
      <c r="Q35" s="2">
        <f t="shared" si="4"/>
        <v>19105.71</v>
      </c>
      <c r="AA35" t="s">
        <v>29</v>
      </c>
      <c r="AF35" t="s">
        <v>31</v>
      </c>
    </row>
    <row r="36" spans="1:32">
      <c r="A36" t="s">
        <v>30</v>
      </c>
      <c r="C36" s="15">
        <v>36306.595000000001</v>
      </c>
      <c r="D36" s="14"/>
      <c r="E36">
        <f t="shared" si="0"/>
        <v>1202.9825833223495</v>
      </c>
      <c r="F36">
        <f t="shared" si="1"/>
        <v>1203</v>
      </c>
      <c r="G36">
        <f t="shared" si="2"/>
        <v>-0.15327999999863096</v>
      </c>
      <c r="H36">
        <f t="shared" si="5"/>
        <v>-0.15327999999863096</v>
      </c>
      <c r="O36">
        <f t="shared" ca="1" si="3"/>
        <v>2.9356776224205506E-2</v>
      </c>
      <c r="Q36" s="2">
        <f t="shared" si="4"/>
        <v>21288.095000000001</v>
      </c>
      <c r="AA36" t="s">
        <v>32</v>
      </c>
      <c r="AF36" t="s">
        <v>31</v>
      </c>
    </row>
    <row r="37" spans="1:32">
      <c r="A37" t="s">
        <v>30</v>
      </c>
      <c r="C37" s="15">
        <v>36456.368000000002</v>
      </c>
      <c r="D37" s="14"/>
      <c r="E37">
        <f t="shared" si="0"/>
        <v>1220.0007726605431</v>
      </c>
      <c r="F37">
        <f t="shared" si="1"/>
        <v>1220</v>
      </c>
      <c r="G37">
        <f t="shared" si="2"/>
        <v>6.8000000028405339E-3</v>
      </c>
      <c r="H37">
        <f t="shared" si="5"/>
        <v>6.8000000028405339E-3</v>
      </c>
      <c r="O37">
        <f t="shared" ca="1" si="3"/>
        <v>2.9991918015422957E-2</v>
      </c>
      <c r="Q37" s="2">
        <f t="shared" si="4"/>
        <v>21437.868000000002</v>
      </c>
      <c r="AA37" t="s">
        <v>32</v>
      </c>
      <c r="AF37" t="s">
        <v>31</v>
      </c>
    </row>
    <row r="38" spans="1:32">
      <c r="A38" t="s">
        <v>30</v>
      </c>
      <c r="C38" s="15">
        <v>37107.478000000003</v>
      </c>
      <c r="D38" s="14"/>
      <c r="E38">
        <f t="shared" si="0"/>
        <v>1293.9841559138076</v>
      </c>
      <c r="F38">
        <f t="shared" si="1"/>
        <v>1294</v>
      </c>
      <c r="G38">
        <f t="shared" si="2"/>
        <v>-0.1394399999990128</v>
      </c>
      <c r="H38">
        <f t="shared" si="5"/>
        <v>-0.1394399999990128</v>
      </c>
      <c r="O38">
        <f t="shared" ca="1" si="3"/>
        <v>3.2756652871310687E-2</v>
      </c>
      <c r="Q38" s="2">
        <f t="shared" si="4"/>
        <v>22088.978000000003</v>
      </c>
      <c r="AA38" t="s">
        <v>32</v>
      </c>
      <c r="AF38" t="s">
        <v>31</v>
      </c>
    </row>
    <row r="39" spans="1:32">
      <c r="A39" t="s">
        <v>30</v>
      </c>
      <c r="C39" s="15">
        <v>37116.462</v>
      </c>
      <c r="D39" s="14"/>
      <c r="E39">
        <f t="shared" si="0"/>
        <v>1295.0049768429087</v>
      </c>
      <c r="F39">
        <f t="shared" si="1"/>
        <v>1295</v>
      </c>
      <c r="G39">
        <f t="shared" si="2"/>
        <v>4.379999999946449E-2</v>
      </c>
      <c r="H39">
        <f t="shared" si="5"/>
        <v>4.379999999946449E-2</v>
      </c>
      <c r="O39">
        <f t="shared" ca="1" si="3"/>
        <v>3.2794014153147005E-2</v>
      </c>
      <c r="Q39" s="2">
        <f t="shared" si="4"/>
        <v>22097.962</v>
      </c>
      <c r="AA39" t="s">
        <v>32</v>
      </c>
      <c r="AF39" t="s">
        <v>31</v>
      </c>
    </row>
    <row r="40" spans="1:32">
      <c r="A40" t="s">
        <v>30</v>
      </c>
      <c r="C40" s="15">
        <v>37169.374000000003</v>
      </c>
      <c r="D40" s="14"/>
      <c r="E40">
        <f t="shared" si="0"/>
        <v>1301.0171848794878</v>
      </c>
      <c r="F40">
        <f t="shared" si="1"/>
        <v>1301</v>
      </c>
      <c r="G40">
        <f t="shared" si="2"/>
        <v>0.15123999999923399</v>
      </c>
      <c r="H40">
        <f t="shared" si="5"/>
        <v>0.15123999999923399</v>
      </c>
      <c r="O40">
        <f t="shared" ca="1" si="3"/>
        <v>3.301818184416494E-2</v>
      </c>
      <c r="Q40" s="2">
        <f t="shared" si="4"/>
        <v>22150.874000000003</v>
      </c>
      <c r="AA40" t="s">
        <v>32</v>
      </c>
      <c r="AF40" t="s">
        <v>31</v>
      </c>
    </row>
    <row r="41" spans="1:32">
      <c r="A41" t="s">
        <v>30</v>
      </c>
      <c r="C41" s="15">
        <v>37820.504000000001</v>
      </c>
      <c r="D41" s="14"/>
      <c r="E41">
        <f t="shared" si="0"/>
        <v>1375.0028406637607</v>
      </c>
      <c r="F41">
        <f t="shared" si="1"/>
        <v>1375</v>
      </c>
      <c r="G41">
        <f t="shared" si="2"/>
        <v>2.5000000001455192E-2</v>
      </c>
      <c r="H41">
        <f t="shared" si="5"/>
        <v>2.5000000001455192E-2</v>
      </c>
      <c r="O41">
        <f t="shared" ca="1" si="3"/>
        <v>3.5782916700052667E-2</v>
      </c>
      <c r="Q41" s="2">
        <f t="shared" si="4"/>
        <v>22802.004000000001</v>
      </c>
      <c r="AA41" t="s">
        <v>32</v>
      </c>
      <c r="AF41" t="s">
        <v>31</v>
      </c>
    </row>
    <row r="42" spans="1:32">
      <c r="A42" t="s">
        <v>33</v>
      </c>
      <c r="C42" s="15">
        <v>48108.682999999997</v>
      </c>
      <c r="D42" s="14"/>
      <c r="E42">
        <f t="shared" si="0"/>
        <v>2544.0131306841677</v>
      </c>
      <c r="F42">
        <f t="shared" si="1"/>
        <v>2544</v>
      </c>
      <c r="G42">
        <f t="shared" si="2"/>
        <v>0.11555999999836786</v>
      </c>
      <c r="I42">
        <f t="shared" ref="I42:I48" si="6">+G42</f>
        <v>0.11555999999836786</v>
      </c>
      <c r="O42">
        <f t="shared" ca="1" si="3"/>
        <v>7.9458255166711622E-2</v>
      </c>
      <c r="Q42" s="2">
        <f t="shared" si="4"/>
        <v>33090.182999999997</v>
      </c>
      <c r="AA42" t="s">
        <v>29</v>
      </c>
      <c r="AF42" t="s">
        <v>31</v>
      </c>
    </row>
    <row r="43" spans="1:32">
      <c r="A43" t="s">
        <v>35</v>
      </c>
      <c r="C43" s="15">
        <v>49129.510999999999</v>
      </c>
      <c r="D43" s="14">
        <v>8.0000000000000002E-3</v>
      </c>
      <c r="E43">
        <f t="shared" si="0"/>
        <v>2660.0062949108938</v>
      </c>
      <c r="F43">
        <f t="shared" si="1"/>
        <v>2660</v>
      </c>
      <c r="G43">
        <f t="shared" si="2"/>
        <v>5.5399999997462146E-2</v>
      </c>
      <c r="I43">
        <f t="shared" si="6"/>
        <v>5.5399999997462146E-2</v>
      </c>
      <c r="O43">
        <f t="shared" ca="1" si="3"/>
        <v>8.3792163859724822E-2</v>
      </c>
      <c r="Q43" s="2">
        <f t="shared" si="4"/>
        <v>34111.010999999999</v>
      </c>
      <c r="AA43" t="s">
        <v>29</v>
      </c>
      <c r="AB43">
        <v>10</v>
      </c>
      <c r="AD43" t="s">
        <v>34</v>
      </c>
      <c r="AF43" t="s">
        <v>36</v>
      </c>
    </row>
    <row r="44" spans="1:32">
      <c r="A44" s="33" t="s">
        <v>137</v>
      </c>
      <c r="B44" s="35" t="s">
        <v>41</v>
      </c>
      <c r="C44" s="34">
        <v>50951.35</v>
      </c>
      <c r="D44" s="34" t="s">
        <v>51</v>
      </c>
      <c r="E44">
        <f t="shared" si="0"/>
        <v>2867.0155759275331</v>
      </c>
      <c r="F44">
        <f t="shared" si="1"/>
        <v>2867</v>
      </c>
      <c r="G44">
        <f t="shared" si="2"/>
        <v>0.13707999999314779</v>
      </c>
      <c r="I44">
        <f t="shared" si="6"/>
        <v>0.13707999999314779</v>
      </c>
      <c r="O44">
        <f t="shared" ca="1" si="3"/>
        <v>9.1525949199843221E-2</v>
      </c>
      <c r="Q44" s="2">
        <f t="shared" si="4"/>
        <v>35932.85</v>
      </c>
    </row>
    <row r="45" spans="1:32">
      <c r="A45" s="33" t="s">
        <v>141</v>
      </c>
      <c r="B45" s="35" t="s">
        <v>41</v>
      </c>
      <c r="C45" s="34">
        <v>51426.5</v>
      </c>
      <c r="D45" s="34" t="s">
        <v>51</v>
      </c>
      <c r="E45">
        <f t="shared" si="0"/>
        <v>2921.0052313663818</v>
      </c>
      <c r="F45">
        <f t="shared" si="1"/>
        <v>2921</v>
      </c>
      <c r="G45">
        <f t="shared" si="2"/>
        <v>4.6040000001084991E-2</v>
      </c>
      <c r="I45">
        <f t="shared" si="6"/>
        <v>4.6040000001084991E-2</v>
      </c>
      <c r="O45">
        <f t="shared" ca="1" si="3"/>
        <v>9.3543458419004535E-2</v>
      </c>
      <c r="Q45" s="2">
        <f t="shared" si="4"/>
        <v>36408</v>
      </c>
    </row>
    <row r="46" spans="1:32">
      <c r="A46" s="33" t="s">
        <v>145</v>
      </c>
      <c r="B46" s="35" t="s">
        <v>41</v>
      </c>
      <c r="C46" s="34">
        <v>52526.63</v>
      </c>
      <c r="D46" s="34" t="s">
        <v>51</v>
      </c>
      <c r="E46">
        <f t="shared" si="0"/>
        <v>3046.0092082956467</v>
      </c>
      <c r="F46">
        <f t="shared" si="1"/>
        <v>3046</v>
      </c>
      <c r="G46">
        <f t="shared" si="2"/>
        <v>8.1039999997301493E-2</v>
      </c>
      <c r="I46">
        <f t="shared" si="6"/>
        <v>8.1039999997301493E-2</v>
      </c>
      <c r="O46">
        <f t="shared" ca="1" si="3"/>
        <v>9.8213618648544637E-2</v>
      </c>
      <c r="Q46" s="2">
        <f t="shared" si="4"/>
        <v>37508.129999999997</v>
      </c>
    </row>
    <row r="47" spans="1:32">
      <c r="A47" s="33" t="s">
        <v>149</v>
      </c>
      <c r="B47" s="35" t="s">
        <v>41</v>
      </c>
      <c r="C47" s="34">
        <v>52878.714999999997</v>
      </c>
      <c r="D47" s="34" t="s">
        <v>51</v>
      </c>
      <c r="E47">
        <f t="shared" si="0"/>
        <v>3086.0154123053003</v>
      </c>
      <c r="F47">
        <f t="shared" si="1"/>
        <v>3086</v>
      </c>
      <c r="G47">
        <f t="shared" si="2"/>
        <v>0.13563999999314547</v>
      </c>
      <c r="I47">
        <f t="shared" si="6"/>
        <v>0.13563999999314547</v>
      </c>
      <c r="O47">
        <f t="shared" ca="1" si="3"/>
        <v>9.9708069921997461E-2</v>
      </c>
      <c r="Q47" s="2">
        <f t="shared" si="4"/>
        <v>37860.214999999997</v>
      </c>
    </row>
    <row r="48" spans="1:32">
      <c r="A48" s="33" t="s">
        <v>153</v>
      </c>
      <c r="B48" s="35" t="s">
        <v>41</v>
      </c>
      <c r="C48" s="34">
        <v>53926.012000000002</v>
      </c>
      <c r="D48" s="34" t="s">
        <v>51</v>
      </c>
      <c r="E48">
        <f t="shared" si="0"/>
        <v>3205.016157695472</v>
      </c>
      <c r="F48">
        <f t="shared" si="1"/>
        <v>3205</v>
      </c>
      <c r="G48">
        <f t="shared" si="2"/>
        <v>0.14220000000204891</v>
      </c>
      <c r="I48">
        <f t="shared" si="6"/>
        <v>0.14220000000204891</v>
      </c>
      <c r="O48">
        <f t="shared" ca="1" si="3"/>
        <v>0.10415406246051963</v>
      </c>
      <c r="Q48" s="2">
        <f t="shared" si="4"/>
        <v>38907.512000000002</v>
      </c>
    </row>
    <row r="49" spans="1:17">
      <c r="A49" s="17" t="s">
        <v>40</v>
      </c>
      <c r="B49" s="18" t="s">
        <v>41</v>
      </c>
      <c r="C49" s="17">
        <v>56812.652000000002</v>
      </c>
      <c r="D49" s="17">
        <v>1E-3</v>
      </c>
      <c r="E49">
        <f t="shared" si="0"/>
        <v>3533.0151032410836</v>
      </c>
      <c r="F49">
        <f t="shared" si="1"/>
        <v>3533</v>
      </c>
      <c r="G49">
        <f t="shared" si="2"/>
        <v>0.13292000000365078</v>
      </c>
      <c r="J49">
        <f>+G49</f>
        <v>0.13292000000365078</v>
      </c>
      <c r="O49">
        <f t="shared" ca="1" si="3"/>
        <v>0.11640856290283284</v>
      </c>
      <c r="Q49" s="2">
        <f t="shared" si="4"/>
        <v>41794.152000000002</v>
      </c>
    </row>
    <row r="50" spans="1:17">
      <c r="B50" s="6"/>
      <c r="C50" s="14"/>
      <c r="D50" s="14"/>
    </row>
    <row r="51" spans="1:17">
      <c r="B51" s="6"/>
      <c r="C51" s="14"/>
      <c r="D51" s="14"/>
    </row>
    <row r="52" spans="1:17">
      <c r="B52" s="6"/>
      <c r="C52" s="14"/>
      <c r="D52" s="14"/>
    </row>
    <row r="53" spans="1:17">
      <c r="B53" s="6"/>
      <c r="C53" s="14"/>
      <c r="D53" s="14"/>
    </row>
    <row r="54" spans="1:17">
      <c r="B54" s="6"/>
      <c r="C54" s="14"/>
      <c r="D54" s="14"/>
    </row>
    <row r="55" spans="1:17">
      <c r="B55" s="6"/>
      <c r="C55" s="14"/>
      <c r="D55" s="14"/>
    </row>
    <row r="56" spans="1:17">
      <c r="C56" s="14"/>
      <c r="D56" s="14"/>
    </row>
    <row r="57" spans="1:17">
      <c r="C57" s="14"/>
      <c r="D57" s="14"/>
    </row>
    <row r="58" spans="1:17">
      <c r="C58" s="14"/>
      <c r="D58" s="14"/>
    </row>
    <row r="59" spans="1:17">
      <c r="C59" s="14"/>
      <c r="D59" s="14"/>
    </row>
    <row r="60" spans="1:17">
      <c r="C60" s="14"/>
      <c r="D60" s="14"/>
    </row>
    <row r="61" spans="1:17">
      <c r="C61" s="14"/>
      <c r="D61" s="14"/>
    </row>
    <row r="62" spans="1:17">
      <c r="C62" s="14"/>
      <c r="D62" s="14"/>
    </row>
    <row r="63" spans="1:17">
      <c r="C63" s="14"/>
      <c r="D63" s="14"/>
    </row>
    <row r="64" spans="1:17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4"/>
  <sheetViews>
    <sheetView topLeftCell="A3" workbookViewId="0">
      <selection activeCell="A33" sqref="A33:D38"/>
    </sheetView>
  </sheetViews>
  <sheetFormatPr defaultRowHeight="12.75"/>
  <cols>
    <col min="1" max="1" width="19.7109375" style="14" customWidth="1"/>
    <col min="2" max="2" width="4.42578125" style="20" customWidth="1"/>
    <col min="3" max="3" width="12.7109375" style="14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14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>
      <c r="A1" s="19" t="s">
        <v>42</v>
      </c>
      <c r="I1" s="21" t="s">
        <v>43</v>
      </c>
      <c r="J1" s="22" t="s">
        <v>44</v>
      </c>
    </row>
    <row r="2" spans="1:16">
      <c r="I2" s="23" t="s">
        <v>45</v>
      </c>
      <c r="J2" s="24" t="s">
        <v>46</v>
      </c>
    </row>
    <row r="3" spans="1:16">
      <c r="A3" s="25" t="s">
        <v>47</v>
      </c>
      <c r="I3" s="23" t="s">
        <v>48</v>
      </c>
      <c r="J3" s="24" t="s">
        <v>32</v>
      </c>
    </row>
    <row r="4" spans="1:16">
      <c r="I4" s="23" t="s">
        <v>49</v>
      </c>
      <c r="J4" s="24" t="s">
        <v>32</v>
      </c>
    </row>
    <row r="5" spans="1:16" ht="13.5" thickBot="1">
      <c r="I5" s="26" t="s">
        <v>50</v>
      </c>
      <c r="J5" s="27" t="s">
        <v>51</v>
      </c>
    </row>
    <row r="10" spans="1:16" ht="13.5" thickBot="1"/>
    <row r="11" spans="1:16" ht="12.75" customHeight="1" thickBot="1">
      <c r="A11" s="14" t="str">
        <f t="shared" ref="A11:A38" si="0">P11</f>
        <v> AAC 1.164 </v>
      </c>
      <c r="B11" s="6" t="str">
        <f t="shared" ref="B11:B38" si="1">IF(H11=INT(H11),"I","II")</f>
        <v>I</v>
      </c>
      <c r="C11" s="14">
        <f t="shared" ref="C11:C38" si="2">1*G11</f>
        <v>25719.42</v>
      </c>
      <c r="D11" s="20" t="str">
        <f t="shared" ref="D11:D38" si="3">VLOOKUP(F11,I$1:J$5,2,FALSE)</f>
        <v>vis</v>
      </c>
      <c r="E11" s="28">
        <f>VLOOKUP(C11,Active!C$21:E$973,3,FALSE)</f>
        <v>-1.5907717064040123E-3</v>
      </c>
      <c r="F11" s="6" t="s">
        <v>50</v>
      </c>
      <c r="G11" s="20" t="str">
        <f t="shared" ref="G11:G38" si="4">MID(I11,3,LEN(I11)-3)</f>
        <v>25719.42</v>
      </c>
      <c r="H11" s="14">
        <f t="shared" ref="H11:H38" si="5">1*K11</f>
        <v>0</v>
      </c>
      <c r="I11" s="29" t="s">
        <v>58</v>
      </c>
      <c r="J11" s="30" t="s">
        <v>59</v>
      </c>
      <c r="K11" s="29">
        <v>0</v>
      </c>
      <c r="L11" s="29" t="s">
        <v>60</v>
      </c>
      <c r="M11" s="30" t="s">
        <v>55</v>
      </c>
      <c r="N11" s="30"/>
      <c r="O11" s="31" t="s">
        <v>61</v>
      </c>
      <c r="P11" s="31" t="s">
        <v>62</v>
      </c>
    </row>
    <row r="12" spans="1:16" ht="12.75" customHeight="1" thickBot="1">
      <c r="A12" s="14" t="str">
        <f t="shared" si="0"/>
        <v> COVS </v>
      </c>
      <c r="B12" s="6" t="str">
        <f t="shared" si="1"/>
        <v>I</v>
      </c>
      <c r="C12" s="14">
        <f t="shared" si="2"/>
        <v>26529.027999999998</v>
      </c>
      <c r="D12" s="20" t="str">
        <f t="shared" si="3"/>
        <v>vis</v>
      </c>
      <c r="E12" s="28">
        <f>VLOOKUP(C12,Active!C$21:E$973,3,FALSE)</f>
        <v>91.991373472290718</v>
      </c>
      <c r="F12" s="6" t="s">
        <v>50</v>
      </c>
      <c r="G12" s="20" t="str">
        <f t="shared" si="4"/>
        <v>26529.028</v>
      </c>
      <c r="H12" s="14">
        <f t="shared" si="5"/>
        <v>92</v>
      </c>
      <c r="I12" s="29" t="s">
        <v>63</v>
      </c>
      <c r="J12" s="30" t="s">
        <v>64</v>
      </c>
      <c r="K12" s="29">
        <v>92</v>
      </c>
      <c r="L12" s="29" t="s">
        <v>65</v>
      </c>
      <c r="M12" s="30" t="s">
        <v>55</v>
      </c>
      <c r="N12" s="30"/>
      <c r="O12" s="31" t="s">
        <v>61</v>
      </c>
      <c r="P12" s="31" t="s">
        <v>66</v>
      </c>
    </row>
    <row r="13" spans="1:16" ht="12.75" customHeight="1" thickBot="1">
      <c r="A13" s="14" t="str">
        <f t="shared" si="0"/>
        <v> COVS </v>
      </c>
      <c r="B13" s="6" t="str">
        <f t="shared" si="1"/>
        <v>I</v>
      </c>
      <c r="C13" s="14">
        <f t="shared" si="2"/>
        <v>27294.762999999999</v>
      </c>
      <c r="D13" s="20" t="str">
        <f t="shared" si="3"/>
        <v>vis</v>
      </c>
      <c r="E13" s="28">
        <f>VLOOKUP(C13,Active!C$21:E$973,3,FALSE)</f>
        <v>178.99920006908471</v>
      </c>
      <c r="F13" s="6" t="s">
        <v>50</v>
      </c>
      <c r="G13" s="20" t="str">
        <f t="shared" si="4"/>
        <v>27294.763</v>
      </c>
      <c r="H13" s="14">
        <f t="shared" si="5"/>
        <v>179</v>
      </c>
      <c r="I13" s="29" t="s">
        <v>67</v>
      </c>
      <c r="J13" s="30" t="s">
        <v>68</v>
      </c>
      <c r="K13" s="29">
        <v>179</v>
      </c>
      <c r="L13" s="29" t="s">
        <v>69</v>
      </c>
      <c r="M13" s="30" t="s">
        <v>55</v>
      </c>
      <c r="N13" s="30"/>
      <c r="O13" s="31" t="s">
        <v>61</v>
      </c>
      <c r="P13" s="31" t="s">
        <v>66</v>
      </c>
    </row>
    <row r="14" spans="1:16" ht="12.75" customHeight="1" thickBot="1">
      <c r="A14" s="14" t="str">
        <f t="shared" si="0"/>
        <v> AN 259.191 </v>
      </c>
      <c r="B14" s="6" t="str">
        <f t="shared" si="1"/>
        <v>I</v>
      </c>
      <c r="C14" s="14">
        <f t="shared" si="2"/>
        <v>27611.612000000001</v>
      </c>
      <c r="D14" s="20" t="str">
        <f t="shared" si="3"/>
        <v>vis</v>
      </c>
      <c r="E14" s="28">
        <f>VLOOKUP(C14,Active!C$21:E$973,3,FALSE)</f>
        <v>215.00165894763632</v>
      </c>
      <c r="F14" s="6" t="s">
        <v>50</v>
      </c>
      <c r="G14" s="20" t="str">
        <f t="shared" si="4"/>
        <v>27611.612</v>
      </c>
      <c r="H14" s="14">
        <f t="shared" si="5"/>
        <v>215</v>
      </c>
      <c r="I14" s="29" t="s">
        <v>70</v>
      </c>
      <c r="J14" s="30" t="s">
        <v>71</v>
      </c>
      <c r="K14" s="29">
        <v>215</v>
      </c>
      <c r="L14" s="29" t="s">
        <v>72</v>
      </c>
      <c r="M14" s="30" t="s">
        <v>55</v>
      </c>
      <c r="N14" s="30"/>
      <c r="O14" s="31" t="s">
        <v>73</v>
      </c>
      <c r="P14" s="31" t="s">
        <v>74</v>
      </c>
    </row>
    <row r="15" spans="1:16" ht="12.75" customHeight="1" thickBot="1">
      <c r="A15" s="14" t="str">
        <f t="shared" si="0"/>
        <v> AN 259.191 </v>
      </c>
      <c r="B15" s="6" t="str">
        <f t="shared" si="1"/>
        <v>I</v>
      </c>
      <c r="C15" s="14">
        <f t="shared" si="2"/>
        <v>27629.203000000001</v>
      </c>
      <c r="D15" s="20" t="str">
        <f t="shared" si="3"/>
        <v>vis</v>
      </c>
      <c r="E15" s="28">
        <f>VLOOKUP(C15,Active!C$21:E$973,3,FALSE)</f>
        <v>217.0004635963258</v>
      </c>
      <c r="F15" s="6" t="s">
        <v>50</v>
      </c>
      <c r="G15" s="20" t="str">
        <f t="shared" si="4"/>
        <v>27629.203</v>
      </c>
      <c r="H15" s="14">
        <f t="shared" si="5"/>
        <v>217</v>
      </c>
      <c r="I15" s="29" t="s">
        <v>75</v>
      </c>
      <c r="J15" s="30" t="s">
        <v>76</v>
      </c>
      <c r="K15" s="29">
        <v>217</v>
      </c>
      <c r="L15" s="29" t="s">
        <v>77</v>
      </c>
      <c r="M15" s="30" t="s">
        <v>55</v>
      </c>
      <c r="N15" s="30"/>
      <c r="O15" s="31" t="s">
        <v>73</v>
      </c>
      <c r="P15" s="31" t="s">
        <v>74</v>
      </c>
    </row>
    <row r="16" spans="1:16" ht="12.75" customHeight="1" thickBot="1">
      <c r="A16" s="14" t="str">
        <f t="shared" si="0"/>
        <v> AN 259.191 </v>
      </c>
      <c r="B16" s="6" t="str">
        <f t="shared" si="1"/>
        <v>I</v>
      </c>
      <c r="C16" s="14">
        <f t="shared" si="2"/>
        <v>27708.392</v>
      </c>
      <c r="D16" s="20" t="str">
        <f t="shared" si="3"/>
        <v>vis</v>
      </c>
      <c r="E16" s="28">
        <f>VLOOKUP(C16,Active!C$21:E$973,3,FALSE)</f>
        <v>225.99843649866588</v>
      </c>
      <c r="F16" s="6" t="s">
        <v>50</v>
      </c>
      <c r="G16" s="20" t="str">
        <f t="shared" si="4"/>
        <v>27708.392</v>
      </c>
      <c r="H16" s="14">
        <f t="shared" si="5"/>
        <v>226</v>
      </c>
      <c r="I16" s="29" t="s">
        <v>78</v>
      </c>
      <c r="J16" s="30" t="s">
        <v>79</v>
      </c>
      <c r="K16" s="29">
        <v>226</v>
      </c>
      <c r="L16" s="29" t="s">
        <v>80</v>
      </c>
      <c r="M16" s="30" t="s">
        <v>55</v>
      </c>
      <c r="N16" s="30"/>
      <c r="O16" s="31" t="s">
        <v>73</v>
      </c>
      <c r="P16" s="31" t="s">
        <v>74</v>
      </c>
    </row>
    <row r="17" spans="1:16" ht="12.75" customHeight="1" thickBot="1">
      <c r="A17" s="14" t="str">
        <f t="shared" si="0"/>
        <v> AN 259.191 </v>
      </c>
      <c r="B17" s="6" t="str">
        <f t="shared" si="1"/>
        <v>I</v>
      </c>
      <c r="C17" s="14">
        <f t="shared" si="2"/>
        <v>27717.23</v>
      </c>
      <c r="D17" s="20" t="str">
        <f t="shared" si="3"/>
        <v>vis</v>
      </c>
      <c r="E17" s="28">
        <f>VLOOKUP(C17,Active!C$21:E$973,3,FALSE)</f>
        <v>227.00266795140402</v>
      </c>
      <c r="F17" s="6" t="s">
        <v>50</v>
      </c>
      <c r="G17" s="20" t="str">
        <f t="shared" si="4"/>
        <v>27717.230</v>
      </c>
      <c r="H17" s="14">
        <f t="shared" si="5"/>
        <v>227</v>
      </c>
      <c r="I17" s="29" t="s">
        <v>81</v>
      </c>
      <c r="J17" s="30" t="s">
        <v>82</v>
      </c>
      <c r="K17" s="29">
        <v>227</v>
      </c>
      <c r="L17" s="29" t="s">
        <v>83</v>
      </c>
      <c r="M17" s="30" t="s">
        <v>55</v>
      </c>
      <c r="N17" s="30"/>
      <c r="O17" s="31" t="s">
        <v>73</v>
      </c>
      <c r="P17" s="31" t="s">
        <v>74</v>
      </c>
    </row>
    <row r="18" spans="1:16" ht="12.75" customHeight="1" thickBot="1">
      <c r="A18" s="14" t="str">
        <f t="shared" si="0"/>
        <v> AN 259.191 </v>
      </c>
      <c r="B18" s="6" t="str">
        <f t="shared" si="1"/>
        <v>I</v>
      </c>
      <c r="C18" s="14">
        <f t="shared" si="2"/>
        <v>27981.253000000001</v>
      </c>
      <c r="D18" s="20" t="str">
        <f t="shared" si="3"/>
        <v>vis</v>
      </c>
      <c r="E18" s="28">
        <f>VLOOKUP(C18,Active!C$21:E$973,3,FALSE)</f>
        <v>257.00269067671422</v>
      </c>
      <c r="F18" s="6" t="s">
        <v>50</v>
      </c>
      <c r="G18" s="20" t="str">
        <f t="shared" si="4"/>
        <v>27981.253</v>
      </c>
      <c r="H18" s="14">
        <f t="shared" si="5"/>
        <v>257</v>
      </c>
      <c r="I18" s="29" t="s">
        <v>84</v>
      </c>
      <c r="J18" s="30" t="s">
        <v>85</v>
      </c>
      <c r="K18" s="29">
        <v>257</v>
      </c>
      <c r="L18" s="29" t="s">
        <v>86</v>
      </c>
      <c r="M18" s="30" t="s">
        <v>55</v>
      </c>
      <c r="N18" s="30"/>
      <c r="O18" s="31" t="s">
        <v>73</v>
      </c>
      <c r="P18" s="31" t="s">
        <v>74</v>
      </c>
    </row>
    <row r="19" spans="1:16" ht="12.75" customHeight="1" thickBot="1">
      <c r="A19" s="14" t="str">
        <f t="shared" si="0"/>
        <v> AN 259.191 </v>
      </c>
      <c r="B19" s="6" t="str">
        <f t="shared" si="1"/>
        <v>I</v>
      </c>
      <c r="C19" s="14">
        <f t="shared" si="2"/>
        <v>28016.41</v>
      </c>
      <c r="D19" s="20" t="str">
        <f t="shared" si="3"/>
        <v>vis</v>
      </c>
      <c r="E19" s="28">
        <f>VLOOKUP(C19,Active!C$21:E$973,3,FALSE)</f>
        <v>260.99745931033215</v>
      </c>
      <c r="F19" s="6" t="s">
        <v>50</v>
      </c>
      <c r="G19" s="20" t="str">
        <f t="shared" si="4"/>
        <v>28016.410</v>
      </c>
      <c r="H19" s="14">
        <f t="shared" si="5"/>
        <v>261</v>
      </c>
      <c r="I19" s="29" t="s">
        <v>87</v>
      </c>
      <c r="J19" s="30" t="s">
        <v>88</v>
      </c>
      <c r="K19" s="29">
        <v>261</v>
      </c>
      <c r="L19" s="29" t="s">
        <v>89</v>
      </c>
      <c r="M19" s="30" t="s">
        <v>55</v>
      </c>
      <c r="N19" s="30"/>
      <c r="O19" s="31" t="s">
        <v>73</v>
      </c>
      <c r="P19" s="31" t="s">
        <v>74</v>
      </c>
    </row>
    <row r="20" spans="1:16" ht="12.75" customHeight="1" thickBot="1">
      <c r="A20" s="14" t="str">
        <f t="shared" si="0"/>
        <v> AN 259.191 </v>
      </c>
      <c r="B20" s="6" t="str">
        <f t="shared" si="1"/>
        <v>I</v>
      </c>
      <c r="C20" s="14">
        <f t="shared" si="2"/>
        <v>28095.718000000001</v>
      </c>
      <c r="D20" s="20" t="str">
        <f t="shared" si="3"/>
        <v>vis</v>
      </c>
      <c r="E20" s="28">
        <f>VLOOKUP(C20,Active!C$21:E$973,3,FALSE)</f>
        <v>270.00895377217415</v>
      </c>
      <c r="F20" s="6" t="s">
        <v>50</v>
      </c>
      <c r="G20" s="20" t="str">
        <f t="shared" si="4"/>
        <v>28095.718</v>
      </c>
      <c r="H20" s="14">
        <f t="shared" si="5"/>
        <v>270</v>
      </c>
      <c r="I20" s="29" t="s">
        <v>90</v>
      </c>
      <c r="J20" s="30" t="s">
        <v>91</v>
      </c>
      <c r="K20" s="29">
        <v>270</v>
      </c>
      <c r="L20" s="29" t="s">
        <v>92</v>
      </c>
      <c r="M20" s="30" t="s">
        <v>55</v>
      </c>
      <c r="N20" s="30"/>
      <c r="O20" s="31" t="s">
        <v>73</v>
      </c>
      <c r="P20" s="31" t="s">
        <v>74</v>
      </c>
    </row>
    <row r="21" spans="1:16" ht="12.75" customHeight="1" thickBot="1">
      <c r="A21" s="14" t="str">
        <f t="shared" si="0"/>
        <v> AN 259.191 </v>
      </c>
      <c r="B21" s="6" t="str">
        <f t="shared" si="1"/>
        <v>I</v>
      </c>
      <c r="C21" s="14">
        <f t="shared" si="2"/>
        <v>28122.045999999998</v>
      </c>
      <c r="D21" s="20" t="str">
        <f t="shared" si="3"/>
        <v>vis</v>
      </c>
      <c r="E21" s="28">
        <f>VLOOKUP(C21,Active!C$21:E$973,3,FALSE)</f>
        <v>273.00051359200768</v>
      </c>
      <c r="F21" s="6" t="s">
        <v>50</v>
      </c>
      <c r="G21" s="20" t="str">
        <f t="shared" si="4"/>
        <v>28122.046</v>
      </c>
      <c r="H21" s="14">
        <f t="shared" si="5"/>
        <v>273</v>
      </c>
      <c r="I21" s="29" t="s">
        <v>93</v>
      </c>
      <c r="J21" s="30" t="s">
        <v>94</v>
      </c>
      <c r="K21" s="29">
        <v>273</v>
      </c>
      <c r="L21" s="29" t="s">
        <v>95</v>
      </c>
      <c r="M21" s="30" t="s">
        <v>55</v>
      </c>
      <c r="N21" s="30"/>
      <c r="O21" s="31" t="s">
        <v>73</v>
      </c>
      <c r="P21" s="31" t="s">
        <v>74</v>
      </c>
    </row>
    <row r="22" spans="1:16" ht="12.75" customHeight="1" thickBot="1">
      <c r="A22" s="14" t="str">
        <f t="shared" si="0"/>
        <v> COVS </v>
      </c>
      <c r="B22" s="6" t="str">
        <f t="shared" si="1"/>
        <v>I</v>
      </c>
      <c r="C22" s="14">
        <f t="shared" si="2"/>
        <v>28368.478999999999</v>
      </c>
      <c r="D22" s="20" t="str">
        <f t="shared" si="3"/>
        <v>vis</v>
      </c>
      <c r="E22" s="28">
        <f>VLOOKUP(C22,Active!C$21:E$973,3,FALSE)</f>
        <v>301.00184529517884</v>
      </c>
      <c r="F22" s="6" t="s">
        <v>50</v>
      </c>
      <c r="G22" s="20" t="str">
        <f t="shared" si="4"/>
        <v>28368.479</v>
      </c>
      <c r="H22" s="14">
        <f t="shared" si="5"/>
        <v>301</v>
      </c>
      <c r="I22" s="29" t="s">
        <v>96</v>
      </c>
      <c r="J22" s="30" t="s">
        <v>97</v>
      </c>
      <c r="K22" s="29">
        <v>301</v>
      </c>
      <c r="L22" s="29" t="s">
        <v>98</v>
      </c>
      <c r="M22" s="30" t="s">
        <v>55</v>
      </c>
      <c r="N22" s="30"/>
      <c r="O22" s="31" t="s">
        <v>61</v>
      </c>
      <c r="P22" s="31" t="s">
        <v>66</v>
      </c>
    </row>
    <row r="23" spans="1:16" ht="12.75" customHeight="1" thickBot="1">
      <c r="A23" s="14" t="str">
        <f t="shared" si="0"/>
        <v> COVS </v>
      </c>
      <c r="B23" s="6" t="str">
        <f t="shared" si="1"/>
        <v>I</v>
      </c>
      <c r="C23" s="14">
        <f t="shared" si="2"/>
        <v>34124.21</v>
      </c>
      <c r="D23" s="20" t="str">
        <f t="shared" si="3"/>
        <v>vis</v>
      </c>
      <c r="E23" s="28">
        <f>VLOOKUP(C23,Active!C$21:E$973,3,FALSE)</f>
        <v>955.00570405283156</v>
      </c>
      <c r="F23" s="6" t="s">
        <v>50</v>
      </c>
      <c r="G23" s="20" t="str">
        <f t="shared" si="4"/>
        <v>34124.210</v>
      </c>
      <c r="H23" s="14">
        <f t="shared" si="5"/>
        <v>955</v>
      </c>
      <c r="I23" s="29" t="s">
        <v>99</v>
      </c>
      <c r="J23" s="30" t="s">
        <v>100</v>
      </c>
      <c r="K23" s="29">
        <v>955</v>
      </c>
      <c r="L23" s="29" t="s">
        <v>101</v>
      </c>
      <c r="M23" s="30" t="s">
        <v>55</v>
      </c>
      <c r="N23" s="30"/>
      <c r="O23" s="31" t="s">
        <v>61</v>
      </c>
      <c r="P23" s="31" t="s">
        <v>66</v>
      </c>
    </row>
    <row r="24" spans="1:16" ht="12.75" customHeight="1" thickBot="1">
      <c r="A24" s="14" t="str">
        <f t="shared" si="0"/>
        <v> MVS 2.123 </v>
      </c>
      <c r="B24" s="6" t="str">
        <f t="shared" si="1"/>
        <v>I</v>
      </c>
      <c r="C24" s="14">
        <f t="shared" si="2"/>
        <v>36306.595000000001</v>
      </c>
      <c r="D24" s="20" t="str">
        <f t="shared" si="3"/>
        <v>vis</v>
      </c>
      <c r="E24" s="28">
        <f>VLOOKUP(C24,Active!C$21:E$973,3,FALSE)</f>
        <v>1202.9825833223495</v>
      </c>
      <c r="F24" s="6" t="s">
        <v>50</v>
      </c>
      <c r="G24" s="20" t="str">
        <f t="shared" si="4"/>
        <v>36306.595</v>
      </c>
      <c r="H24" s="14">
        <f t="shared" si="5"/>
        <v>1203</v>
      </c>
      <c r="I24" s="29" t="s">
        <v>102</v>
      </c>
      <c r="J24" s="30" t="s">
        <v>103</v>
      </c>
      <c r="K24" s="29">
        <v>1203</v>
      </c>
      <c r="L24" s="29" t="s">
        <v>104</v>
      </c>
      <c r="M24" s="30" t="s">
        <v>105</v>
      </c>
      <c r="N24" s="30"/>
      <c r="O24" s="31" t="s">
        <v>106</v>
      </c>
      <c r="P24" s="31" t="s">
        <v>107</v>
      </c>
    </row>
    <row r="25" spans="1:16" ht="12.75" customHeight="1" thickBot="1">
      <c r="A25" s="14" t="str">
        <f t="shared" si="0"/>
        <v> MVS 2.123 </v>
      </c>
      <c r="B25" s="6" t="str">
        <f t="shared" si="1"/>
        <v>I</v>
      </c>
      <c r="C25" s="14">
        <f t="shared" si="2"/>
        <v>36456.368000000002</v>
      </c>
      <c r="D25" s="20" t="str">
        <f t="shared" si="3"/>
        <v>vis</v>
      </c>
      <c r="E25" s="28">
        <f>VLOOKUP(C25,Active!C$21:E$973,3,FALSE)</f>
        <v>1220.0007726605431</v>
      </c>
      <c r="F25" s="6" t="s">
        <v>50</v>
      </c>
      <c r="G25" s="20" t="str">
        <f t="shared" si="4"/>
        <v>36456.368</v>
      </c>
      <c r="H25" s="14">
        <f t="shared" si="5"/>
        <v>1220</v>
      </c>
      <c r="I25" s="29" t="s">
        <v>108</v>
      </c>
      <c r="J25" s="30" t="s">
        <v>109</v>
      </c>
      <c r="K25" s="29">
        <v>1220</v>
      </c>
      <c r="L25" s="29" t="s">
        <v>110</v>
      </c>
      <c r="M25" s="30" t="s">
        <v>105</v>
      </c>
      <c r="N25" s="30"/>
      <c r="O25" s="31" t="s">
        <v>106</v>
      </c>
      <c r="P25" s="31" t="s">
        <v>107</v>
      </c>
    </row>
    <row r="26" spans="1:16" ht="12.75" customHeight="1" thickBot="1">
      <c r="A26" s="14" t="str">
        <f t="shared" si="0"/>
        <v> MVS 2.123 </v>
      </c>
      <c r="B26" s="6" t="str">
        <f t="shared" si="1"/>
        <v>I</v>
      </c>
      <c r="C26" s="14">
        <f t="shared" si="2"/>
        <v>37107.478000000003</v>
      </c>
      <c r="D26" s="20" t="str">
        <f t="shared" si="3"/>
        <v>vis</v>
      </c>
      <c r="E26" s="28">
        <f>VLOOKUP(C26,Active!C$21:E$973,3,FALSE)</f>
        <v>1293.9841559138076</v>
      </c>
      <c r="F26" s="6" t="s">
        <v>50</v>
      </c>
      <c r="G26" s="20" t="str">
        <f t="shared" si="4"/>
        <v>37107.478</v>
      </c>
      <c r="H26" s="14">
        <f t="shared" si="5"/>
        <v>1294</v>
      </c>
      <c r="I26" s="29" t="s">
        <v>111</v>
      </c>
      <c r="J26" s="30" t="s">
        <v>112</v>
      </c>
      <c r="K26" s="29">
        <v>1294</v>
      </c>
      <c r="L26" s="29" t="s">
        <v>113</v>
      </c>
      <c r="M26" s="30" t="s">
        <v>105</v>
      </c>
      <c r="N26" s="30"/>
      <c r="O26" s="31" t="s">
        <v>106</v>
      </c>
      <c r="P26" s="31" t="s">
        <v>107</v>
      </c>
    </row>
    <row r="27" spans="1:16" ht="12.75" customHeight="1" thickBot="1">
      <c r="A27" s="14" t="str">
        <f t="shared" si="0"/>
        <v> MVS 2.123 </v>
      </c>
      <c r="B27" s="6" t="str">
        <f t="shared" si="1"/>
        <v>I</v>
      </c>
      <c r="C27" s="14">
        <f t="shared" si="2"/>
        <v>37116.462</v>
      </c>
      <c r="D27" s="20" t="str">
        <f t="shared" si="3"/>
        <v>vis</v>
      </c>
      <c r="E27" s="28">
        <f>VLOOKUP(C27,Active!C$21:E$973,3,FALSE)</f>
        <v>1295.0049768429087</v>
      </c>
      <c r="F27" s="6" t="s">
        <v>50</v>
      </c>
      <c r="G27" s="20" t="str">
        <f t="shared" si="4"/>
        <v>37116.462</v>
      </c>
      <c r="H27" s="14">
        <f t="shared" si="5"/>
        <v>1295</v>
      </c>
      <c r="I27" s="29" t="s">
        <v>114</v>
      </c>
      <c r="J27" s="30" t="s">
        <v>115</v>
      </c>
      <c r="K27" s="29">
        <v>1295</v>
      </c>
      <c r="L27" s="29" t="s">
        <v>116</v>
      </c>
      <c r="M27" s="30" t="s">
        <v>105</v>
      </c>
      <c r="N27" s="30"/>
      <c r="O27" s="31" t="s">
        <v>106</v>
      </c>
      <c r="P27" s="31" t="s">
        <v>107</v>
      </c>
    </row>
    <row r="28" spans="1:16" ht="12.75" customHeight="1" thickBot="1">
      <c r="A28" s="14" t="str">
        <f t="shared" si="0"/>
        <v> MVS 2.123 </v>
      </c>
      <c r="B28" s="6" t="str">
        <f t="shared" si="1"/>
        <v>I</v>
      </c>
      <c r="C28" s="14">
        <f t="shared" si="2"/>
        <v>37169.374000000003</v>
      </c>
      <c r="D28" s="20" t="str">
        <f t="shared" si="3"/>
        <v>vis</v>
      </c>
      <c r="E28" s="28">
        <f>VLOOKUP(C28,Active!C$21:E$973,3,FALSE)</f>
        <v>1301.0171848794878</v>
      </c>
      <c r="F28" s="6" t="s">
        <v>50</v>
      </c>
      <c r="G28" s="20" t="str">
        <f t="shared" si="4"/>
        <v>37169.374</v>
      </c>
      <c r="H28" s="14">
        <f t="shared" si="5"/>
        <v>1301</v>
      </c>
      <c r="I28" s="29" t="s">
        <v>117</v>
      </c>
      <c r="J28" s="30" t="s">
        <v>118</v>
      </c>
      <c r="K28" s="29">
        <v>1301</v>
      </c>
      <c r="L28" s="29" t="s">
        <v>119</v>
      </c>
      <c r="M28" s="30" t="s">
        <v>105</v>
      </c>
      <c r="N28" s="30"/>
      <c r="O28" s="31" t="s">
        <v>106</v>
      </c>
      <c r="P28" s="31" t="s">
        <v>107</v>
      </c>
    </row>
    <row r="29" spans="1:16" ht="12.75" customHeight="1" thickBot="1">
      <c r="A29" s="14" t="str">
        <f t="shared" si="0"/>
        <v> MVS 2.123 </v>
      </c>
      <c r="B29" s="6" t="str">
        <f t="shared" si="1"/>
        <v>I</v>
      </c>
      <c r="C29" s="14">
        <f t="shared" si="2"/>
        <v>37820.504000000001</v>
      </c>
      <c r="D29" s="20" t="str">
        <f t="shared" si="3"/>
        <v>vis</v>
      </c>
      <c r="E29" s="28">
        <f>VLOOKUP(C29,Active!C$21:E$973,3,FALSE)</f>
        <v>1375.0028406637607</v>
      </c>
      <c r="F29" s="6" t="s">
        <v>50</v>
      </c>
      <c r="G29" s="20" t="str">
        <f t="shared" si="4"/>
        <v>37820.504</v>
      </c>
      <c r="H29" s="14">
        <f t="shared" si="5"/>
        <v>1375</v>
      </c>
      <c r="I29" s="29" t="s">
        <v>120</v>
      </c>
      <c r="J29" s="30" t="s">
        <v>121</v>
      </c>
      <c r="K29" s="29">
        <v>1375</v>
      </c>
      <c r="L29" s="29" t="s">
        <v>122</v>
      </c>
      <c r="M29" s="30" t="s">
        <v>105</v>
      </c>
      <c r="N29" s="30"/>
      <c r="O29" s="31" t="s">
        <v>106</v>
      </c>
      <c r="P29" s="31" t="s">
        <v>107</v>
      </c>
    </row>
    <row r="30" spans="1:16" ht="12.75" customHeight="1" thickBot="1">
      <c r="A30" s="14" t="str">
        <f t="shared" si="0"/>
        <v>BAVM 59 </v>
      </c>
      <c r="B30" s="6" t="str">
        <f t="shared" si="1"/>
        <v>I</v>
      </c>
      <c r="C30" s="14">
        <f t="shared" si="2"/>
        <v>48108.682999999997</v>
      </c>
      <c r="D30" s="20" t="str">
        <f t="shared" si="3"/>
        <v>vis</v>
      </c>
      <c r="E30" s="28">
        <f>VLOOKUP(C30,Active!C$21:E$973,3,FALSE)</f>
        <v>2544.0131306841677</v>
      </c>
      <c r="F30" s="6" t="s">
        <v>50</v>
      </c>
      <c r="G30" s="20" t="str">
        <f t="shared" si="4"/>
        <v>48108.683</v>
      </c>
      <c r="H30" s="14">
        <f t="shared" si="5"/>
        <v>2544</v>
      </c>
      <c r="I30" s="29" t="s">
        <v>123</v>
      </c>
      <c r="J30" s="30" t="s">
        <v>124</v>
      </c>
      <c r="K30" s="29">
        <v>2544</v>
      </c>
      <c r="L30" s="29" t="s">
        <v>125</v>
      </c>
      <c r="M30" s="30" t="s">
        <v>55</v>
      </c>
      <c r="N30" s="30"/>
      <c r="O30" s="31" t="s">
        <v>126</v>
      </c>
      <c r="P30" s="32" t="s">
        <v>127</v>
      </c>
    </row>
    <row r="31" spans="1:16" ht="12.75" customHeight="1" thickBot="1">
      <c r="A31" s="14" t="str">
        <f t="shared" si="0"/>
        <v> BBS 105 </v>
      </c>
      <c r="B31" s="6" t="str">
        <f t="shared" si="1"/>
        <v>I</v>
      </c>
      <c r="C31" s="14">
        <f t="shared" si="2"/>
        <v>49129.510999999999</v>
      </c>
      <c r="D31" s="20" t="str">
        <f t="shared" si="3"/>
        <v>vis</v>
      </c>
      <c r="E31" s="28">
        <f>VLOOKUP(C31,Active!C$21:E$973,3,FALSE)</f>
        <v>2660.0062949108938</v>
      </c>
      <c r="F31" s="6" t="s">
        <v>50</v>
      </c>
      <c r="G31" s="20" t="str">
        <f t="shared" si="4"/>
        <v>49129.511</v>
      </c>
      <c r="H31" s="14">
        <f t="shared" si="5"/>
        <v>2660</v>
      </c>
      <c r="I31" s="29" t="s">
        <v>128</v>
      </c>
      <c r="J31" s="30" t="s">
        <v>129</v>
      </c>
      <c r="K31" s="29">
        <v>2660</v>
      </c>
      <c r="L31" s="29" t="s">
        <v>130</v>
      </c>
      <c r="M31" s="30" t="s">
        <v>55</v>
      </c>
      <c r="N31" s="30"/>
      <c r="O31" s="31" t="s">
        <v>131</v>
      </c>
      <c r="P31" s="31" t="s">
        <v>132</v>
      </c>
    </row>
    <row r="32" spans="1:16" ht="12.75" customHeight="1" thickBot="1">
      <c r="A32" s="14" t="str">
        <f t="shared" si="0"/>
        <v>BAVM 238 </v>
      </c>
      <c r="B32" s="6" t="str">
        <f t="shared" si="1"/>
        <v>I</v>
      </c>
      <c r="C32" s="14">
        <f t="shared" si="2"/>
        <v>56812.652000000002</v>
      </c>
      <c r="D32" s="20" t="str">
        <f t="shared" si="3"/>
        <v>vis</v>
      </c>
      <c r="E32" s="28">
        <f>VLOOKUP(C32,Active!C$21:E$973,3,FALSE)</f>
        <v>3533.0151032410836</v>
      </c>
      <c r="F32" s="6" t="s">
        <v>50</v>
      </c>
      <c r="G32" s="20" t="str">
        <f t="shared" si="4"/>
        <v>56812.652</v>
      </c>
      <c r="H32" s="14">
        <f t="shared" si="5"/>
        <v>3533</v>
      </c>
      <c r="I32" s="29" t="s">
        <v>154</v>
      </c>
      <c r="J32" s="30" t="s">
        <v>155</v>
      </c>
      <c r="K32" s="29">
        <v>3533</v>
      </c>
      <c r="L32" s="29" t="s">
        <v>156</v>
      </c>
      <c r="M32" s="30" t="s">
        <v>157</v>
      </c>
      <c r="N32" s="30" t="s">
        <v>158</v>
      </c>
      <c r="O32" s="31" t="s">
        <v>159</v>
      </c>
      <c r="P32" s="32" t="s">
        <v>160</v>
      </c>
    </row>
    <row r="33" spans="1:16" ht="12.75" customHeight="1" thickBot="1">
      <c r="A33" s="14" t="str">
        <f t="shared" si="0"/>
        <v> BZ 11.37 </v>
      </c>
      <c r="B33" s="6" t="str">
        <f t="shared" si="1"/>
        <v>I</v>
      </c>
      <c r="C33" s="14">
        <f t="shared" si="2"/>
        <v>25411.4</v>
      </c>
      <c r="D33" s="20" t="str">
        <f t="shared" si="3"/>
        <v>vis</v>
      </c>
      <c r="E33" s="28">
        <f>VLOOKUP(C33,Active!C$21:E$973,3,FALSE)</f>
        <v>-35.000840836473174</v>
      </c>
      <c r="F33" s="6" t="s">
        <v>50</v>
      </c>
      <c r="G33" s="20" t="str">
        <f t="shared" si="4"/>
        <v>25411.4</v>
      </c>
      <c r="H33" s="14">
        <f t="shared" si="5"/>
        <v>-35</v>
      </c>
      <c r="I33" s="29" t="s">
        <v>52</v>
      </c>
      <c r="J33" s="30" t="s">
        <v>53</v>
      </c>
      <c r="K33" s="29">
        <v>-35</v>
      </c>
      <c r="L33" s="29" t="s">
        <v>54</v>
      </c>
      <c r="M33" s="30" t="s">
        <v>55</v>
      </c>
      <c r="N33" s="30"/>
      <c r="O33" s="31" t="s">
        <v>56</v>
      </c>
      <c r="P33" s="31" t="s">
        <v>57</v>
      </c>
    </row>
    <row r="34" spans="1:16" ht="12.75" customHeight="1" thickBot="1">
      <c r="A34" s="14" t="str">
        <f t="shared" si="0"/>
        <v>BAVM 122 </v>
      </c>
      <c r="B34" s="6" t="str">
        <f t="shared" si="1"/>
        <v>I</v>
      </c>
      <c r="C34" s="14">
        <f t="shared" si="2"/>
        <v>50951.35</v>
      </c>
      <c r="D34" s="20" t="str">
        <f t="shared" si="3"/>
        <v>vis</v>
      </c>
      <c r="E34" s="28">
        <f>VLOOKUP(C34,Active!C$21:E$973,3,FALSE)</f>
        <v>2867.0155759275331</v>
      </c>
      <c r="F34" s="6" t="s">
        <v>50</v>
      </c>
      <c r="G34" s="20" t="str">
        <f t="shared" si="4"/>
        <v>50951.35</v>
      </c>
      <c r="H34" s="14">
        <f t="shared" si="5"/>
        <v>2867</v>
      </c>
      <c r="I34" s="29" t="s">
        <v>133</v>
      </c>
      <c r="J34" s="30" t="s">
        <v>134</v>
      </c>
      <c r="K34" s="29">
        <v>2867</v>
      </c>
      <c r="L34" s="29" t="s">
        <v>135</v>
      </c>
      <c r="M34" s="30" t="s">
        <v>55</v>
      </c>
      <c r="N34" s="30"/>
      <c r="O34" s="31" t="s">
        <v>136</v>
      </c>
      <c r="P34" s="32" t="s">
        <v>137</v>
      </c>
    </row>
    <row r="35" spans="1:16" ht="12.75" customHeight="1" thickBot="1">
      <c r="A35" s="14" t="str">
        <f t="shared" si="0"/>
        <v>BAVM 131 </v>
      </c>
      <c r="B35" s="6" t="str">
        <f t="shared" si="1"/>
        <v>I</v>
      </c>
      <c r="C35" s="14">
        <f t="shared" si="2"/>
        <v>51426.5</v>
      </c>
      <c r="D35" s="20" t="str">
        <f t="shared" si="3"/>
        <v>vis</v>
      </c>
      <c r="E35" s="28">
        <f>VLOOKUP(C35,Active!C$21:E$973,3,FALSE)</f>
        <v>2921.0052313663818</v>
      </c>
      <c r="F35" s="6" t="s">
        <v>50</v>
      </c>
      <c r="G35" s="20" t="str">
        <f t="shared" si="4"/>
        <v>51426.50</v>
      </c>
      <c r="H35" s="14">
        <f t="shared" si="5"/>
        <v>2921</v>
      </c>
      <c r="I35" s="29" t="s">
        <v>138</v>
      </c>
      <c r="J35" s="30" t="s">
        <v>139</v>
      </c>
      <c r="K35" s="29">
        <v>2921</v>
      </c>
      <c r="L35" s="29" t="s">
        <v>140</v>
      </c>
      <c r="M35" s="30" t="s">
        <v>55</v>
      </c>
      <c r="N35" s="30"/>
      <c r="O35" s="31" t="s">
        <v>136</v>
      </c>
      <c r="P35" s="32" t="s">
        <v>141</v>
      </c>
    </row>
    <row r="36" spans="1:16" ht="12.75" customHeight="1" thickBot="1">
      <c r="A36" s="14" t="str">
        <f t="shared" si="0"/>
        <v>BAVM 157 </v>
      </c>
      <c r="B36" s="6" t="str">
        <f t="shared" si="1"/>
        <v>I</v>
      </c>
      <c r="C36" s="14">
        <f t="shared" si="2"/>
        <v>52526.63</v>
      </c>
      <c r="D36" s="20" t="str">
        <f t="shared" si="3"/>
        <v>vis</v>
      </c>
      <c r="E36" s="28">
        <f>VLOOKUP(C36,Active!C$21:E$973,3,FALSE)</f>
        <v>3046.0092082956467</v>
      </c>
      <c r="F36" s="6" t="s">
        <v>50</v>
      </c>
      <c r="G36" s="20" t="str">
        <f t="shared" si="4"/>
        <v>52526.63</v>
      </c>
      <c r="H36" s="14">
        <f t="shared" si="5"/>
        <v>3046</v>
      </c>
      <c r="I36" s="29" t="s">
        <v>142</v>
      </c>
      <c r="J36" s="30" t="s">
        <v>143</v>
      </c>
      <c r="K36" s="29">
        <v>3046</v>
      </c>
      <c r="L36" s="29" t="s">
        <v>144</v>
      </c>
      <c r="M36" s="30" t="s">
        <v>55</v>
      </c>
      <c r="N36" s="30"/>
      <c r="O36" s="31" t="s">
        <v>136</v>
      </c>
      <c r="P36" s="32" t="s">
        <v>145</v>
      </c>
    </row>
    <row r="37" spans="1:16" ht="12.75" customHeight="1" thickBot="1">
      <c r="A37" s="14" t="str">
        <f t="shared" si="0"/>
        <v>BAVM 171 </v>
      </c>
      <c r="B37" s="6" t="str">
        <f t="shared" si="1"/>
        <v>I</v>
      </c>
      <c r="C37" s="14">
        <f t="shared" si="2"/>
        <v>52878.714999999997</v>
      </c>
      <c r="D37" s="20" t="str">
        <f t="shared" si="3"/>
        <v>vis</v>
      </c>
      <c r="E37" s="28">
        <f>VLOOKUP(C37,Active!C$21:E$973,3,FALSE)</f>
        <v>3086.0154123053003</v>
      </c>
      <c r="F37" s="6" t="s">
        <v>50</v>
      </c>
      <c r="G37" s="20" t="str">
        <f t="shared" si="4"/>
        <v>52878.715</v>
      </c>
      <c r="H37" s="14">
        <f t="shared" si="5"/>
        <v>3086</v>
      </c>
      <c r="I37" s="29" t="s">
        <v>146</v>
      </c>
      <c r="J37" s="30" t="s">
        <v>147</v>
      </c>
      <c r="K37" s="29">
        <v>3086</v>
      </c>
      <c r="L37" s="29" t="s">
        <v>148</v>
      </c>
      <c r="M37" s="30" t="s">
        <v>55</v>
      </c>
      <c r="N37" s="30"/>
      <c r="O37" s="31" t="s">
        <v>136</v>
      </c>
      <c r="P37" s="32" t="s">
        <v>149</v>
      </c>
    </row>
    <row r="38" spans="1:16" ht="12.75" customHeight="1" thickBot="1">
      <c r="A38" s="14" t="str">
        <f t="shared" si="0"/>
        <v>BAVM 192 </v>
      </c>
      <c r="B38" s="6" t="str">
        <f t="shared" si="1"/>
        <v>I</v>
      </c>
      <c r="C38" s="14">
        <f t="shared" si="2"/>
        <v>53926.012000000002</v>
      </c>
      <c r="D38" s="20" t="str">
        <f t="shared" si="3"/>
        <v>vis</v>
      </c>
      <c r="E38" s="28">
        <f>VLOOKUP(C38,Active!C$21:E$973,3,FALSE)</f>
        <v>3205.016157695472</v>
      </c>
      <c r="F38" s="6" t="s">
        <v>50</v>
      </c>
      <c r="G38" s="20" t="str">
        <f t="shared" si="4"/>
        <v>53926.012</v>
      </c>
      <c r="H38" s="14">
        <f t="shared" si="5"/>
        <v>3205</v>
      </c>
      <c r="I38" s="29" t="s">
        <v>150</v>
      </c>
      <c r="J38" s="30" t="s">
        <v>151</v>
      </c>
      <c r="K38" s="29">
        <v>3205</v>
      </c>
      <c r="L38" s="29" t="s">
        <v>152</v>
      </c>
      <c r="M38" s="30" t="s">
        <v>55</v>
      </c>
      <c r="N38" s="30"/>
      <c r="O38" s="31" t="s">
        <v>136</v>
      </c>
      <c r="P38" s="32" t="s">
        <v>153</v>
      </c>
    </row>
    <row r="39" spans="1:16">
      <c r="B39" s="6"/>
      <c r="F39" s="6"/>
    </row>
    <row r="40" spans="1:16">
      <c r="B40" s="6"/>
      <c r="F40" s="6"/>
    </row>
    <row r="41" spans="1:16">
      <c r="B41" s="6"/>
      <c r="F41" s="6"/>
    </row>
    <row r="42" spans="1:16">
      <c r="B42" s="6"/>
      <c r="F42" s="6"/>
    </row>
    <row r="43" spans="1:16">
      <c r="B43" s="6"/>
      <c r="F43" s="6"/>
    </row>
    <row r="44" spans="1:16">
      <c r="B44" s="6"/>
      <c r="F44" s="6"/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</sheetData>
  <phoneticPr fontId="7" type="noConversion"/>
  <hyperlinks>
    <hyperlink ref="P30" r:id="rId1" display="http://www.bav-astro.de/sfs/BAVM_link.php?BAVMnr=59"/>
    <hyperlink ref="P34" r:id="rId2" display="http://www.bav-astro.de/sfs/BAVM_link.php?BAVMnr=122"/>
    <hyperlink ref="P35" r:id="rId3" display="http://www.bav-astro.de/sfs/BAVM_link.php?BAVMnr=131"/>
    <hyperlink ref="P36" r:id="rId4" display="http://www.bav-astro.de/sfs/BAVM_link.php?BAVMnr=157"/>
    <hyperlink ref="P37" r:id="rId5" display="http://www.bav-astro.de/sfs/BAVM_link.php?BAVMnr=171"/>
    <hyperlink ref="P38" r:id="rId6" display="http://www.bav-astro.de/sfs/BAVM_link.php?BAVMnr=192"/>
    <hyperlink ref="P32" r:id="rId7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2024-02-12T04:41:41Z</dcterms:modified>
</cp:coreProperties>
</file>