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C64DBC2-EFAA-4063-AEB2-2CD0472686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1" i="1" l="1"/>
  <c r="Q77" i="1"/>
  <c r="D9" i="1"/>
  <c r="C9" i="1"/>
  <c r="Q69" i="1"/>
  <c r="Q63" i="1"/>
  <c r="Q60" i="1"/>
  <c r="Q58" i="1"/>
  <c r="Q30" i="1"/>
  <c r="Q29" i="1"/>
  <c r="Q28" i="1"/>
  <c r="Q27" i="1"/>
  <c r="Q26" i="1"/>
  <c r="Q25" i="1"/>
  <c r="Q24" i="1"/>
  <c r="Q23" i="1"/>
  <c r="Q22" i="1"/>
  <c r="Q21" i="1"/>
  <c r="G53" i="2"/>
  <c r="C53" i="2"/>
  <c r="G52" i="2"/>
  <c r="C52" i="2"/>
  <c r="G51" i="2"/>
  <c r="C51" i="2"/>
  <c r="G68" i="2"/>
  <c r="C68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67" i="2"/>
  <c r="C67" i="2"/>
  <c r="G43" i="2"/>
  <c r="C43" i="2"/>
  <c r="G42" i="2"/>
  <c r="C42" i="2"/>
  <c r="G41" i="2"/>
  <c r="C41" i="2"/>
  <c r="G40" i="2"/>
  <c r="C40" i="2"/>
  <c r="G39" i="2"/>
  <c r="C39" i="2"/>
  <c r="G66" i="2"/>
  <c r="C66" i="2"/>
  <c r="G38" i="2"/>
  <c r="C38" i="2"/>
  <c r="G65" i="2"/>
  <c r="C65" i="2"/>
  <c r="G37" i="2"/>
  <c r="C37" i="2"/>
  <c r="G64" i="2"/>
  <c r="C64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H53" i="2"/>
  <c r="D53" i="2"/>
  <c r="B53" i="2"/>
  <c r="A53" i="2"/>
  <c r="H52" i="2"/>
  <c r="B52" i="2"/>
  <c r="D52" i="2"/>
  <c r="A52" i="2"/>
  <c r="H51" i="2"/>
  <c r="D51" i="2"/>
  <c r="B51" i="2"/>
  <c r="A51" i="2"/>
  <c r="H68" i="2"/>
  <c r="B68" i="2"/>
  <c r="D68" i="2"/>
  <c r="A68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67" i="2"/>
  <c r="B67" i="2"/>
  <c r="D67" i="2"/>
  <c r="A67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66" i="2"/>
  <c r="B66" i="2"/>
  <c r="D66" i="2"/>
  <c r="A66" i="2"/>
  <c r="H38" i="2"/>
  <c r="D38" i="2"/>
  <c r="B38" i="2"/>
  <c r="A38" i="2"/>
  <c r="H65" i="2"/>
  <c r="B65" i="2"/>
  <c r="D65" i="2"/>
  <c r="A65" i="2"/>
  <c r="H37" i="2"/>
  <c r="D37" i="2"/>
  <c r="B37" i="2"/>
  <c r="A37" i="2"/>
  <c r="H64" i="2"/>
  <c r="B64" i="2"/>
  <c r="D64" i="2"/>
  <c r="A64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Q78" i="1"/>
  <c r="Q79" i="1"/>
  <c r="Q80" i="1"/>
  <c r="Q71" i="1"/>
  <c r="Q72" i="1"/>
  <c r="Q68" i="1"/>
  <c r="F16" i="1"/>
  <c r="C17" i="1"/>
  <c r="C7" i="1"/>
  <c r="E79" i="1"/>
  <c r="F79" i="1"/>
  <c r="C8" i="1"/>
  <c r="Q76" i="1"/>
  <c r="Q73" i="1"/>
  <c r="Q74" i="1"/>
  <c r="Q75" i="1"/>
  <c r="Q70" i="1"/>
  <c r="Q67" i="1"/>
  <c r="Q66" i="1"/>
  <c r="Q64" i="1"/>
  <c r="Q65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9" i="1"/>
  <c r="Q61" i="1"/>
  <c r="Q62" i="1"/>
  <c r="Q45" i="1"/>
  <c r="E16" i="2"/>
  <c r="E67" i="2"/>
  <c r="E22" i="2"/>
  <c r="E29" i="2"/>
  <c r="E40" i="2"/>
  <c r="E68" i="2"/>
  <c r="E24" i="2"/>
  <c r="E41" i="2"/>
  <c r="E23" i="2"/>
  <c r="E56" i="2"/>
  <c r="E52" i="2"/>
  <c r="E42" i="2"/>
  <c r="E48" i="2"/>
  <c r="E53" i="2"/>
  <c r="E49" i="2"/>
  <c r="E53" i="1"/>
  <c r="F53" i="1"/>
  <c r="E44" i="1"/>
  <c r="F44" i="1"/>
  <c r="E36" i="1"/>
  <c r="F36" i="1"/>
  <c r="G62" i="1"/>
  <c r="I62" i="1"/>
  <c r="G63" i="1"/>
  <c r="I63" i="1"/>
  <c r="E58" i="1"/>
  <c r="F58" i="1"/>
  <c r="G58" i="1"/>
  <c r="I58" i="1"/>
  <c r="E23" i="1"/>
  <c r="F23" i="1"/>
  <c r="E67" i="1"/>
  <c r="F67" i="1"/>
  <c r="E76" i="1"/>
  <c r="F76" i="1"/>
  <c r="G76" i="1"/>
  <c r="J76" i="1"/>
  <c r="G64" i="1"/>
  <c r="K64" i="1"/>
  <c r="E59" i="1"/>
  <c r="F59" i="1"/>
  <c r="E50" i="1"/>
  <c r="F50" i="1"/>
  <c r="E41" i="1"/>
  <c r="F41" i="1"/>
  <c r="E33" i="1"/>
  <c r="F33" i="1"/>
  <c r="G33" i="1"/>
  <c r="I33" i="1"/>
  <c r="E28" i="1"/>
  <c r="F28" i="1"/>
  <c r="E72" i="1"/>
  <c r="F72" i="1"/>
  <c r="E81" i="1"/>
  <c r="F81" i="1"/>
  <c r="E55" i="1"/>
  <c r="F55" i="1"/>
  <c r="G55" i="1"/>
  <c r="I55" i="1"/>
  <c r="G49" i="1"/>
  <c r="I49" i="1"/>
  <c r="E47" i="1"/>
  <c r="F47" i="1"/>
  <c r="G47" i="1"/>
  <c r="I47" i="1"/>
  <c r="E38" i="1"/>
  <c r="F38" i="1"/>
  <c r="G38" i="1"/>
  <c r="I38" i="1"/>
  <c r="E62" i="1"/>
  <c r="F62" i="1"/>
  <c r="E63" i="1"/>
  <c r="F63" i="1"/>
  <c r="E25" i="1"/>
  <c r="F25" i="1"/>
  <c r="G25" i="1"/>
  <c r="I25" i="1"/>
  <c r="E69" i="1"/>
  <c r="F69" i="1"/>
  <c r="G69" i="1"/>
  <c r="I69" i="1"/>
  <c r="E78" i="1"/>
  <c r="F78" i="1"/>
  <c r="G78" i="1"/>
  <c r="J78" i="1"/>
  <c r="E64" i="1"/>
  <c r="F64" i="1"/>
  <c r="E52" i="1"/>
  <c r="F52" i="1"/>
  <c r="G52" i="1"/>
  <c r="I52" i="1"/>
  <c r="G46" i="1"/>
  <c r="I46" i="1"/>
  <c r="E43" i="1"/>
  <c r="F43" i="1"/>
  <c r="G43" i="1"/>
  <c r="I43" i="1"/>
  <c r="E35" i="1"/>
  <c r="F35" i="1"/>
  <c r="G35" i="1"/>
  <c r="I35" i="1"/>
  <c r="E30" i="1"/>
  <c r="F30" i="1"/>
  <c r="G30" i="1"/>
  <c r="I30" i="1"/>
  <c r="E22" i="1"/>
  <c r="F22" i="1"/>
  <c r="G22" i="1"/>
  <c r="I22" i="1"/>
  <c r="E66" i="1"/>
  <c r="F66" i="1"/>
  <c r="G66" i="1"/>
  <c r="K66" i="1"/>
  <c r="E75" i="1"/>
  <c r="F75" i="1"/>
  <c r="G75" i="1"/>
  <c r="J75" i="1"/>
  <c r="G45" i="1"/>
  <c r="H45" i="1"/>
  <c r="E57" i="1"/>
  <c r="F57" i="1"/>
  <c r="G57" i="1"/>
  <c r="I57" i="1"/>
  <c r="E49" i="1"/>
  <c r="F49" i="1"/>
  <c r="E40" i="1"/>
  <c r="F40" i="1"/>
  <c r="G40" i="1"/>
  <c r="I40" i="1"/>
  <c r="E32" i="1"/>
  <c r="F32" i="1"/>
  <c r="G32" i="1"/>
  <c r="I32" i="1"/>
  <c r="G29" i="1"/>
  <c r="I29" i="1"/>
  <c r="E27" i="1"/>
  <c r="E71" i="1"/>
  <c r="F71" i="1"/>
  <c r="G71" i="1"/>
  <c r="I71" i="1"/>
  <c r="E80" i="1"/>
  <c r="F80" i="1"/>
  <c r="G80" i="1"/>
  <c r="J80" i="1"/>
  <c r="G74" i="1"/>
  <c r="J74" i="1"/>
  <c r="E54" i="1"/>
  <c r="F54" i="1"/>
  <c r="G54" i="1"/>
  <c r="I54" i="1"/>
  <c r="E46" i="1"/>
  <c r="F46" i="1"/>
  <c r="E37" i="1"/>
  <c r="F37" i="1"/>
  <c r="G37" i="1"/>
  <c r="I37" i="1"/>
  <c r="E61" i="1"/>
  <c r="F61" i="1"/>
  <c r="G61" i="1"/>
  <c r="I61" i="1"/>
  <c r="E60" i="1"/>
  <c r="F60" i="1"/>
  <c r="G60" i="1"/>
  <c r="I60" i="1"/>
  <c r="E24" i="1"/>
  <c r="F24" i="1"/>
  <c r="G24" i="1"/>
  <c r="I24" i="1"/>
  <c r="E68" i="1"/>
  <c r="F68" i="1"/>
  <c r="G68" i="1"/>
  <c r="K68" i="1"/>
  <c r="G79" i="1"/>
  <c r="J79" i="1"/>
  <c r="E77" i="1"/>
  <c r="F77" i="1"/>
  <c r="G77" i="1"/>
  <c r="I77" i="1"/>
  <c r="E45" i="1"/>
  <c r="F45" i="1"/>
  <c r="G53" i="1"/>
  <c r="I53" i="1"/>
  <c r="E51" i="1"/>
  <c r="F51" i="1"/>
  <c r="G51" i="1"/>
  <c r="I51" i="1"/>
  <c r="G44" i="1"/>
  <c r="I44" i="1"/>
  <c r="E42" i="1"/>
  <c r="F42" i="1"/>
  <c r="G42" i="1"/>
  <c r="I42" i="1"/>
  <c r="G36" i="1"/>
  <c r="I36" i="1"/>
  <c r="E34" i="1"/>
  <c r="F34" i="1"/>
  <c r="G34" i="1"/>
  <c r="I34" i="1"/>
  <c r="E29" i="1"/>
  <c r="F29" i="1"/>
  <c r="G23" i="1"/>
  <c r="I23" i="1"/>
  <c r="E21" i="1"/>
  <c r="F21" i="1"/>
  <c r="G21" i="1"/>
  <c r="I21" i="1"/>
  <c r="E73" i="1"/>
  <c r="F73" i="1"/>
  <c r="G73" i="1"/>
  <c r="J73" i="1"/>
  <c r="G67" i="1"/>
  <c r="K67" i="1"/>
  <c r="E65" i="1"/>
  <c r="F65" i="1"/>
  <c r="G65" i="1"/>
  <c r="E74" i="1"/>
  <c r="F74" i="1"/>
  <c r="G59" i="1"/>
  <c r="I59" i="1"/>
  <c r="E56" i="1"/>
  <c r="F56" i="1"/>
  <c r="G56" i="1"/>
  <c r="I56" i="1"/>
  <c r="G50" i="1"/>
  <c r="I50" i="1"/>
  <c r="E48" i="1"/>
  <c r="F48" i="1"/>
  <c r="G48" i="1"/>
  <c r="I48" i="1"/>
  <c r="G41" i="1"/>
  <c r="I41" i="1"/>
  <c r="E39" i="1"/>
  <c r="F39" i="1"/>
  <c r="G39" i="1"/>
  <c r="I39" i="1"/>
  <c r="E31" i="1"/>
  <c r="F31" i="1"/>
  <c r="G31" i="1"/>
  <c r="I31" i="1"/>
  <c r="G28" i="1"/>
  <c r="I28" i="1"/>
  <c r="E26" i="1"/>
  <c r="F26" i="1"/>
  <c r="G26" i="1"/>
  <c r="I26" i="1"/>
  <c r="G72" i="1"/>
  <c r="I72" i="1"/>
  <c r="E70" i="1"/>
  <c r="F70" i="1"/>
  <c r="G70" i="1"/>
  <c r="K70" i="1"/>
  <c r="G81" i="1"/>
  <c r="K81" i="1"/>
  <c r="K65" i="1"/>
  <c r="E63" i="2"/>
  <c r="E14" i="2"/>
  <c r="E19" i="2"/>
  <c r="E18" i="2"/>
  <c r="E17" i="2"/>
  <c r="E11" i="2"/>
  <c r="E62" i="2"/>
  <c r="E47" i="2"/>
  <c r="E37" i="2"/>
  <c r="E55" i="2"/>
  <c r="E57" i="2"/>
  <c r="E43" i="2"/>
  <c r="E58" i="2"/>
  <c r="E34" i="2"/>
  <c r="E59" i="2"/>
  <c r="E20" i="2"/>
  <c r="E31" i="2"/>
  <c r="E51" i="2"/>
  <c r="E45" i="2"/>
  <c r="E50" i="2"/>
  <c r="E21" i="2"/>
  <c r="E38" i="2"/>
  <c r="E65" i="2"/>
  <c r="E25" i="2"/>
  <c r="E46" i="2"/>
  <c r="E12" i="2"/>
  <c r="E44" i="2"/>
  <c r="E32" i="2"/>
  <c r="E28" i="2"/>
  <c r="E26" i="2"/>
  <c r="E13" i="2"/>
  <c r="E54" i="2"/>
  <c r="E39" i="2"/>
  <c r="E15" i="2"/>
  <c r="F27" i="1"/>
  <c r="G27" i="1"/>
  <c r="I27" i="1"/>
  <c r="E60" i="2"/>
  <c r="E64" i="2"/>
  <c r="E27" i="2"/>
  <c r="E36" i="2"/>
  <c r="E66" i="2"/>
  <c r="E33" i="2"/>
  <c r="E30" i="2"/>
  <c r="E35" i="2"/>
  <c r="E61" i="2"/>
  <c r="C11" i="1"/>
  <c r="C12" i="1"/>
  <c r="C16" i="1" l="1"/>
  <c r="D18" i="1" s="1"/>
  <c r="O79" i="1"/>
  <c r="O55" i="1"/>
  <c r="O66" i="1"/>
  <c r="O72" i="1"/>
  <c r="O68" i="1"/>
  <c r="O60" i="1"/>
  <c r="O74" i="1"/>
  <c r="O81" i="1"/>
  <c r="O62" i="1"/>
  <c r="O69" i="1"/>
  <c r="O57" i="1"/>
  <c r="O70" i="1"/>
  <c r="O56" i="1"/>
  <c r="O80" i="1"/>
  <c r="O78" i="1"/>
  <c r="O59" i="1"/>
  <c r="O63" i="1"/>
  <c r="O75" i="1"/>
  <c r="O67" i="1"/>
  <c r="O76" i="1"/>
  <c r="O64" i="1"/>
  <c r="O65" i="1"/>
  <c r="O71" i="1"/>
  <c r="O61" i="1"/>
  <c r="O53" i="1"/>
  <c r="O54" i="1"/>
  <c r="O77" i="1"/>
  <c r="C15" i="1"/>
  <c r="F18" i="1" s="1"/>
  <c r="O58" i="1"/>
  <c r="O73" i="1"/>
  <c r="F17" i="1"/>
  <c r="F19" i="1" l="1"/>
  <c r="C18" i="1"/>
</calcChain>
</file>

<file path=xl/sharedStrings.xml><?xml version="1.0" encoding="utf-8"?>
<sst xmlns="http://schemas.openxmlformats.org/spreadsheetml/2006/main" count="645" uniqueCount="308">
  <si>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</si>
  <si>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</si>
  <si>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</si>
  <si>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</si>
  <si>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</si>
  <si>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</si>
  <si>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</si>
  <si>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</si>
  <si>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</si>
  <si>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</si>
  <si>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</si>
  <si>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</si>
  <si>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</si>
  <si>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</si>
  <si>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</si>
  <si>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</si>
  <si>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</si>
  <si>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</si>
  <si>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</si>
  <si>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</si>
  <si>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</si>
  <si>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</si>
  <si>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</si>
  <si>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</si>
  <si>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</si>
  <si>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</si>
  <si>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</si>
  <si>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</si>
  <si>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</si>
  <si>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</si>
  <si>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Bull.43</t>
  </si>
  <si>
    <t>B</t>
  </si>
  <si>
    <t>BBSAG Bull.44</t>
  </si>
  <si>
    <t>BBSAG Bull.47</t>
  </si>
  <si>
    <t>BBSAG Bull.48</t>
  </si>
  <si>
    <t>BBSAG Bull.49</t>
  </si>
  <si>
    <t>BBSAG Bull.50</t>
  </si>
  <si>
    <t>BBSAG Bull.53</t>
  </si>
  <si>
    <t>BBSAG Bull.54</t>
  </si>
  <si>
    <t>BBSAG Bull.55</t>
  </si>
  <si>
    <t>BBSAG Bull.59</t>
  </si>
  <si>
    <t>BBSAG Bull.60</t>
  </si>
  <si>
    <t>BBSAG Bull.61</t>
  </si>
  <si>
    <t>BBSAG Bull.62</t>
  </si>
  <si>
    <t>BBSAG Bull.66</t>
  </si>
  <si>
    <t>Mavrofridis G</t>
  </si>
  <si>
    <t>BBSAG Bull.72</t>
  </si>
  <si>
    <t>BBSAG Bull.73</t>
  </si>
  <si>
    <t>BBSAG Bull.76</t>
  </si>
  <si>
    <t>BBSAG Bull.78</t>
  </si>
  <si>
    <t>BBSAG Bull.80</t>
  </si>
  <si>
    <t>Blaettler E</t>
  </si>
  <si>
    <t>BBSAG Bull.115</t>
  </si>
  <si>
    <t>IBVS 5263</t>
  </si>
  <si>
    <t>I</t>
  </si>
  <si>
    <t>IBVS 5027</t>
  </si>
  <si>
    <t>II</t>
  </si>
  <si>
    <t>ES Her / GSC 02612-00362</t>
  </si>
  <si>
    <t>EB/KE:</t>
  </si>
  <si>
    <t>IBVS 5677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</si>
  <si>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</si>
  <si>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</si>
  <si>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</si>
  <si>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</si>
  <si>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</si>
  <si>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</si>
  <si>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</si>
  <si>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</si>
  <si>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</si>
  <si>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</si>
  <si>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</si>
  <si>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6010</t>
  </si>
  <si>
    <t>OEJV 0003</t>
  </si>
  <si>
    <t>OEJV 0074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</si>
  <si>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</si>
  <si>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</si>
  <si>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</si>
  <si>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</si>
  <si>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</si>
  <si>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</si>
  <si>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</si>
  <si>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</si>
  <si>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</si>
  <si>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</si>
  <si>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</si>
  <si>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</si>
  <si>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2426092.452 </t>
  </si>
  <si>
    <t> 25.04.1930 22:50 </t>
  </si>
  <si>
    <t> -0.046 </t>
  </si>
  <si>
    <t>P </t>
  </si>
  <si>
    <t> H.van Schewick </t>
  </si>
  <si>
    <t> KVBB 19.53 </t>
  </si>
  <si>
    <t>2426099.527 </t>
  </si>
  <si>
    <t> 03.05.1930 00:38 </t>
  </si>
  <si>
    <t> -0.009 </t>
  </si>
  <si>
    <t>2426146.457 </t>
  </si>
  <si>
    <t> 18.06.1930 22:58 </t>
  </si>
  <si>
    <t> -0.001 </t>
  </si>
  <si>
    <t>2426218.367 </t>
  </si>
  <si>
    <t> 29.08.1930 20:48 </t>
  </si>
  <si>
    <t> -0.038 </t>
  </si>
  <si>
    <t>2426440.448 </t>
  </si>
  <si>
    <t> 08.04.1931 22:45 </t>
  </si>
  <si>
    <t> -0.053 </t>
  </si>
  <si>
    <t>2426512.466 </t>
  </si>
  <si>
    <t> 19.06.1931 23:11 </t>
  </si>
  <si>
    <t> 0.018 </t>
  </si>
  <si>
    <t>2426770.543 </t>
  </si>
  <si>
    <t> 04.03.1932 01:01 </t>
  </si>
  <si>
    <t> 0.025 </t>
  </si>
  <si>
    <t>2426842.477 </t>
  </si>
  <si>
    <t> 14.05.1932 23:26 </t>
  </si>
  <si>
    <t> 0.012 </t>
  </si>
  <si>
    <t>2426853.421 </t>
  </si>
  <si>
    <t> 25.05.1932 22:06 </t>
  </si>
  <si>
    <t> 0.007 </t>
  </si>
  <si>
    <t>2427711.311 </t>
  </si>
  <si>
    <t> 30.09.1934 19:27 </t>
  </si>
  <si>
    <t> 0.010 </t>
  </si>
  <si>
    <t>2443977.523 </t>
  </si>
  <si>
    <t> 14.04.1979 00:33 </t>
  </si>
  <si>
    <t> -0.010 </t>
  </si>
  <si>
    <t>V </t>
  </si>
  <si>
    <t> K.Locher </t>
  </si>
  <si>
    <t> BBS 43 </t>
  </si>
  <si>
    <t>2443988.477 </t>
  </si>
  <si>
    <t> 24.04.1979 23:26 </t>
  </si>
  <si>
    <t> -0.005 </t>
  </si>
  <si>
    <t>2444006.472 </t>
  </si>
  <si>
    <t> 12.05.1979 23:19 </t>
  </si>
  <si>
    <t> 0.004 </t>
  </si>
  <si>
    <t>2444114.394 </t>
  </si>
  <si>
    <t> 28.08.1979 21:27 </t>
  </si>
  <si>
    <t> 0.006 </t>
  </si>
  <si>
    <t> BBS 44 </t>
  </si>
  <si>
    <t>2444343.533 </t>
  </si>
  <si>
    <t> 14.04.1980 00:47 </t>
  </si>
  <si>
    <t> BBS 47 </t>
  </si>
  <si>
    <t>2444372.454 </t>
  </si>
  <si>
    <t> 12.05.1980 22:53 </t>
  </si>
  <si>
    <t> BBS 48 </t>
  </si>
  <si>
    <t>2444458.488 </t>
  </si>
  <si>
    <t> 06.08.1980 23:42 </t>
  </si>
  <si>
    <t> BBS 49 </t>
  </si>
  <si>
    <t>2444491.333 </t>
  </si>
  <si>
    <t> 08.09.1980 19:59 </t>
  </si>
  <si>
    <t> BBS 50 </t>
  </si>
  <si>
    <t>2444498.379 </t>
  </si>
  <si>
    <t> 15.09.1980 21:05 </t>
  </si>
  <si>
    <t> 0.014 </t>
  </si>
  <si>
    <t>2444644.620 </t>
  </si>
  <si>
    <t> 09.02.1981 02:52 </t>
  </si>
  <si>
    <t> 0.015 </t>
  </si>
  <si>
    <t> BBS 53 </t>
  </si>
  <si>
    <t>2444691.534 </t>
  </si>
  <si>
    <t> 28.03.1981 00:48 </t>
  </si>
  <si>
    <t>2444705.609 </t>
  </si>
  <si>
    <t> 11.04.1981 02:36 </t>
  </si>
  <si>
    <t> BBS 54 </t>
  </si>
  <si>
    <t>2444763.470 </t>
  </si>
  <si>
    <t> 07.06.1981 23:16 </t>
  </si>
  <si>
    <t> -0.004 </t>
  </si>
  <si>
    <t> BBS 55 </t>
  </si>
  <si>
    <t>2444770.512 </t>
  </si>
  <si>
    <t> 15.06.1981 00:17 </t>
  </si>
  <si>
    <t> 0.000 </t>
  </si>
  <si>
    <t>2445053.606 </t>
  </si>
  <si>
    <t> 25.03.1982 02:32 </t>
  </si>
  <si>
    <t> BBS 59 </t>
  </si>
  <si>
    <t>2445111.470 </t>
  </si>
  <si>
    <t> 21.05.1982 23:16 </t>
  </si>
  <si>
    <t> -0.007 </t>
  </si>
  <si>
    <t> BBS 60 </t>
  </si>
  <si>
    <t>2445172.486 </t>
  </si>
  <si>
    <t> 21.07.1982 23:39 </t>
  </si>
  <si>
    <t> BBS 61 </t>
  </si>
  <si>
    <t>2445194.369 </t>
  </si>
  <si>
    <t> 12.08.1982 20:51 </t>
  </si>
  <si>
    <t> BBS 62 </t>
  </si>
  <si>
    <t>2445466.491 </t>
  </si>
  <si>
    <t> 11.05.1983 23:47 </t>
  </si>
  <si>
    <t> -0.028 </t>
  </si>
  <si>
    <t> BBS 66 </t>
  </si>
  <si>
    <t>2445854.399 </t>
  </si>
  <si>
    <t> 02.06.1984 21:34 </t>
  </si>
  <si>
    <t> G.Mavrofridis </t>
  </si>
  <si>
    <t> BBS 72 </t>
  </si>
  <si>
    <t>2445861.436 </t>
  </si>
  <si>
    <t> 09.06.1984 22:27 </t>
  </si>
  <si>
    <t> -0.008 </t>
  </si>
  <si>
    <t>2445933.395 </t>
  </si>
  <si>
    <t> 20.08.1984 21:28 </t>
  </si>
  <si>
    <t> BBS 73 </t>
  </si>
  <si>
    <t>2445940.415 </t>
  </si>
  <si>
    <t> 27.08.1984 21:57 </t>
  </si>
  <si>
    <t> -0.014 </t>
  </si>
  <si>
    <t>2446176.601 </t>
  </si>
  <si>
    <t> 21.04.1985 02:25 </t>
  </si>
  <si>
    <t> -0.002 </t>
  </si>
  <si>
    <t> BBS 76 </t>
  </si>
  <si>
    <t>2446299.374 </t>
  </si>
  <si>
    <t> 21.08.1985 20:58 </t>
  </si>
  <si>
    <t> BBS 78 </t>
  </si>
  <si>
    <t>2446495.658 </t>
  </si>
  <si>
    <t> 06.03.1986 03:47 </t>
  </si>
  <si>
    <t> -0.013 </t>
  </si>
  <si>
    <t> BBS 80 </t>
  </si>
  <si>
    <t>2446535.556 </t>
  </si>
  <si>
    <t> 15.04.1986 01:20 </t>
  </si>
  <si>
    <t> 0.001 </t>
  </si>
  <si>
    <t> J.Borovicka </t>
  </si>
  <si>
    <t> BRNO 28 </t>
  </si>
  <si>
    <t>2446553.549 </t>
  </si>
  <si>
    <t> 03.05.1986 01:10 </t>
  </si>
  <si>
    <t> 0.008 </t>
  </si>
  <si>
    <t>2447357.456 </t>
  </si>
  <si>
    <t> 14.07.1988 22:56 </t>
  </si>
  <si>
    <t> A.Slatinsky </t>
  </si>
  <si>
    <t> BRNO 30 </t>
  </si>
  <si>
    <t>2450586.457 </t>
  </si>
  <si>
    <t> 17.05.1997 22:58 </t>
  </si>
  <si>
    <t> -0.015 </t>
  </si>
  <si>
    <t>E </t>
  </si>
  <si>
    <t>?</t>
  </si>
  <si>
    <t> E.Blättler </t>
  </si>
  <si>
    <t> BBS 115 </t>
  </si>
  <si>
    <t>2450597.4066 </t>
  </si>
  <si>
    <t> 28.05.1997 21:45 </t>
  </si>
  <si>
    <t> -0.0139 </t>
  </si>
  <si>
    <t>2451291.8187 </t>
  </si>
  <si>
    <t> 23.04.1999 07:38 </t>
  </si>
  <si>
    <t> -0.0448 </t>
  </si>
  <si>
    <t> R.Diethelm </t>
  </si>
  <si>
    <t>IBVS 5027 </t>
  </si>
  <si>
    <t>2451304.7379 </t>
  </si>
  <si>
    <t> 06.05.1999 05:42 </t>
  </si>
  <si>
    <t> -0.0291 </t>
  </si>
  <si>
    <t>2451401.3354 </t>
  </si>
  <si>
    <t> 10.08.1999 20:02 </t>
  </si>
  <si>
    <t> -0.0124 </t>
  </si>
  <si>
    <t> M.Zejda </t>
  </si>
  <si>
    <t>IBVS 5263 </t>
  </si>
  <si>
    <t>2451404.4611 </t>
  </si>
  <si>
    <t> 13.08.1999 23:03 </t>
  </si>
  <si>
    <t> -0.0148 </t>
  </si>
  <si>
    <t>2451684.42417 </t>
  </si>
  <si>
    <t> 19.05.2000 22:10 </t>
  </si>
  <si>
    <t> -0.01860 </t>
  </si>
  <si>
    <t>C </t>
  </si>
  <si>
    <t>o</t>
  </si>
  <si>
    <t> J.Šafár </t>
  </si>
  <si>
    <t>OEJV 0074 </t>
  </si>
  <si>
    <t>2452082.4770 </t>
  </si>
  <si>
    <t> 21.06.2001 23:26 </t>
  </si>
  <si>
    <t> -0.0192 </t>
  </si>
  <si>
    <t> BBS 125 </t>
  </si>
  <si>
    <t>2453476.8344 </t>
  </si>
  <si>
    <t> 16.04.2005 08:01 </t>
  </si>
  <si>
    <t> -0.0220 </t>
  </si>
  <si>
    <t> S. Dvorak </t>
  </si>
  <si>
    <t>IBVS 5677 </t>
  </si>
  <si>
    <t>2453517.488 </t>
  </si>
  <si>
    <t> 26.05.2005 23:42 </t>
  </si>
  <si>
    <t> -0.034 </t>
  </si>
  <si>
    <t>OEJV 0003 </t>
  </si>
  <si>
    <t>2453578.497 </t>
  </si>
  <si>
    <t> 26.07.2005 23:55 </t>
  </si>
  <si>
    <t> -0.023 </t>
  </si>
  <si>
    <t>2453636.364 </t>
  </si>
  <si>
    <t> 22.09.2005 20:44 </t>
  </si>
  <si>
    <t> -0.027 </t>
  </si>
  <si>
    <t> Schmidt </t>
  </si>
  <si>
    <t>BAVM 178 </t>
  </si>
  <si>
    <t>2453818.5804 </t>
  </si>
  <si>
    <t> 24.03.2006 01:55 </t>
  </si>
  <si>
    <t> -0.0233 </t>
  </si>
  <si>
    <t> Moschner </t>
  </si>
  <si>
    <t>2453894.4361 </t>
  </si>
  <si>
    <t> 07.06.2006 22:27 </t>
  </si>
  <si>
    <t> -0.0246 </t>
  </si>
  <si>
    <t>-I</t>
  </si>
  <si>
    <t> Agerer </t>
  </si>
  <si>
    <t>2454220.5422 </t>
  </si>
  <si>
    <t> 30.04.2007 01:00 </t>
  </si>
  <si>
    <t>12084</t>
  </si>
  <si>
    <t> -0.0252 </t>
  </si>
  <si>
    <t> F.Agerer </t>
  </si>
  <si>
    <t>BAVM 186 </t>
  </si>
  <si>
    <t>2454368.3449 </t>
  </si>
  <si>
    <t> 24.09.2007 20:16 </t>
  </si>
  <si>
    <t>12273</t>
  </si>
  <si>
    <t> -0.0262 </t>
  </si>
  <si>
    <t>BAVM 193 </t>
  </si>
  <si>
    <t>2455648.5246 </t>
  </si>
  <si>
    <t> 28.03.2011 00:35 </t>
  </si>
  <si>
    <t>13910</t>
  </si>
  <si>
    <t> -0.0303 </t>
  </si>
  <si>
    <t> W.Moschner &amp; P.Frank </t>
  </si>
  <si>
    <t>BAVM 220 </t>
  </si>
  <si>
    <t>2455670.4235 </t>
  </si>
  <si>
    <t> 18.04.2011 22:09 </t>
  </si>
  <si>
    <t>13938</t>
  </si>
  <si>
    <t> -0.0282 </t>
  </si>
  <si>
    <t>2455673.5505 </t>
  </si>
  <si>
    <t> 22.04.2011 01:12 </t>
  </si>
  <si>
    <t>13942</t>
  </si>
  <si>
    <t> -0.0293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</si>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</sst>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Her - O-C Diagr.</a:t>
            </a:r>
          </a:p>
        </c:rich>
      </c:tx>
      <c:layout>
        <c:manualLayout>
          <c:xMode val="edge"/>
          <c:yMode val="edge"/>
          <c:x val="0.3937680027956845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78841707547"/>
          <c:y val="0.14769252958613219"/>
          <c:w val="0.8271960395245271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87-4EE5-B371-C207A074F8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-4.59264000019175E-2</c:v>
                </c:pt>
                <c:pt idx="1">
                  <c:v>-9.200000004057074E-3</c:v>
                </c:pt>
                <c:pt idx="2">
                  <c:v>-1.0240000046906061E-3</c:v>
                </c:pt>
                <c:pt idx="3">
                  <c:v>-3.7820800003828481E-2</c:v>
                </c:pt>
                <c:pt idx="4">
                  <c:v>-5.3454400000191526E-2</c:v>
                </c:pt>
                <c:pt idx="5">
                  <c:v>1.7748799997207243E-2</c:v>
                </c:pt>
                <c:pt idx="6">
                  <c:v>2.4716799998714123E-2</c:v>
                </c:pt>
                <c:pt idx="7">
                  <c:v>1.1919999997189734E-2</c:v>
                </c:pt>
                <c:pt idx="8">
                  <c:v>7.4943999970855657E-3</c:v>
                </c:pt>
                <c:pt idx="9">
                  <c:v>1.0145600001123967E-2</c:v>
                </c:pt>
                <c:pt idx="10">
                  <c:v>-1.0174399998504668E-2</c:v>
                </c:pt>
                <c:pt idx="11">
                  <c:v>-4.6000000002095476E-3</c:v>
                </c:pt>
                <c:pt idx="12">
                  <c:v>3.7007999999332242E-3</c:v>
                </c:pt>
                <c:pt idx="13">
                  <c:v>5.5055999982869253E-3</c:v>
                </c:pt>
                <c:pt idx="14">
                  <c:v>9.5983999999589287E-3</c:v>
                </c:pt>
                <c:pt idx="15">
                  <c:v>-4.5264000073075294E-3</c:v>
                </c:pt>
                <c:pt idx="16">
                  <c:v>6.1295999985304661E-3</c:v>
                </c:pt>
                <c:pt idx="17">
                  <c:v>5.8527999935904518E-3</c:v>
                </c:pt>
                <c:pt idx="18">
                  <c:v>1.3579200000094716E-2</c:v>
                </c:pt>
                <c:pt idx="19">
                  <c:v>1.4894400002958719E-2</c:v>
                </c:pt>
                <c:pt idx="20">
                  <c:v>7.0703999954275787E-3</c:v>
                </c:pt>
                <c:pt idx="21">
                  <c:v>5.5231999940588139E-3</c:v>
                </c:pt>
                <c:pt idx="22">
                  <c:v>-3.7263999984133989E-3</c:v>
                </c:pt>
                <c:pt idx="23">
                  <c:v>0</c:v>
                </c:pt>
                <c:pt idx="25">
                  <c:v>-1.0048000040114857E-3</c:v>
                </c:pt>
                <c:pt idx="26">
                  <c:v>-7.2543999995104969E-3</c:v>
                </c:pt>
                <c:pt idx="27">
                  <c:v>1.0374399993452244E-2</c:v>
                </c:pt>
                <c:pt idx="28">
                  <c:v>-3.4768000041367486E-3</c:v>
                </c:pt>
                <c:pt idx="29">
                  <c:v>-2.805600000283448E-2</c:v>
                </c:pt>
                <c:pt idx="30">
                  <c:v>-7.1344000025419518E-3</c:v>
                </c:pt>
                <c:pt idx="31">
                  <c:v>-8.4080000015092082E-3</c:v>
                </c:pt>
                <c:pt idx="32">
                  <c:v>3.7951999911456369E-3</c:v>
                </c:pt>
                <c:pt idx="33">
                  <c:v>-1.4478400000371039E-2</c:v>
                </c:pt>
                <c:pt idx="34">
                  <c:v>-1.6592000029049814E-3</c:v>
                </c:pt>
                <c:pt idx="35">
                  <c:v>-7.4319999985164031E-3</c:v>
                </c:pt>
                <c:pt idx="36">
                  <c:v>-1.3062400001217611E-2</c:v>
                </c:pt>
                <c:pt idx="37">
                  <c:v>1.3871999908587895E-3</c:v>
                </c:pt>
                <c:pt idx="38">
                  <c:v>7.6879999978700653E-3</c:v>
                </c:pt>
                <c:pt idx="39">
                  <c:v>-1.2563200005388353E-2</c:v>
                </c:pt>
                <c:pt idx="40">
                  <c:v>-1.5084799997566734E-2</c:v>
                </c:pt>
                <c:pt idx="41">
                  <c:v>-1.4510399996652268E-2</c:v>
                </c:pt>
                <c:pt idx="42">
                  <c:v>-1.3910399997257628E-2</c:v>
                </c:pt>
                <c:pt idx="48">
                  <c:v>-1.9240000001445878E-2</c:v>
                </c:pt>
                <c:pt idx="50">
                  <c:v>-3.4024000007775612E-2</c:v>
                </c:pt>
                <c:pt idx="51">
                  <c:v>-2.3395199998049065E-2</c:v>
                </c:pt>
                <c:pt idx="56">
                  <c:v>-2.6199200008704793E-2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87-4EE5-B371-C207A074F8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2">
                  <c:v>-2.6644800003850833E-2</c:v>
                </c:pt>
                <c:pt idx="53">
                  <c:v>-2.3328000002948102E-2</c:v>
                </c:pt>
                <c:pt idx="54">
                  <c:v>-2.457680000225082E-2</c:v>
                </c:pt>
                <c:pt idx="55">
                  <c:v>-2.5153599999612197E-2</c:v>
                </c:pt>
                <c:pt idx="57">
                  <c:v>-3.0264000008173753E-2</c:v>
                </c:pt>
                <c:pt idx="58">
                  <c:v>-2.8215200007252861E-2</c:v>
                </c:pt>
                <c:pt idx="59">
                  <c:v>-2.9336800005694386E-2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87-4EE5-B371-C207A074F8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3">
                  <c:v>-4.4805600002291612E-2</c:v>
                </c:pt>
                <c:pt idx="44">
                  <c:v>-2.9107200003636535E-2</c:v>
                </c:pt>
                <c:pt idx="45">
                  <c:v>-1.2361599998257589E-2</c:v>
                </c:pt>
                <c:pt idx="46">
                  <c:v>-1.4783200000238139E-2</c:v>
                </c:pt>
                <c:pt idx="47">
                  <c:v>-1.8596400004753377E-2</c:v>
                </c:pt>
                <c:pt idx="49">
                  <c:v>-2.2043199998734053E-2</c:v>
                </c:pt>
                <c:pt idx="60">
                  <c:v>-3.6774400003196206E-2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87-4EE5-B371-C207A074F8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87-4EE5-B371-C207A074F8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87-4EE5-B371-C207A074F8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4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2E-3</c:v>
                  </c:pt>
                  <c:pt idx="44">
                    <c:v>1.6999999999999999E-3</c:v>
                  </c:pt>
                  <c:pt idx="45">
                    <c:v>8.2000000000000007E-3</c:v>
                  </c:pt>
                  <c:pt idx="46">
                    <c:v>4.1000000000000003E-3</c:v>
                  </c:pt>
                  <c:pt idx="47">
                    <c:v>2.8999999999999998E-3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1E-3</c:v>
                  </c:pt>
                  <c:pt idx="53">
                    <c:v>2.9999999999999997E-4</c:v>
                  </c:pt>
                  <c:pt idx="54">
                    <c:v>1.2999999999999999E-3</c:v>
                  </c:pt>
                  <c:pt idx="55">
                    <c:v>3.8E-3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1.9E-3</c:v>
                  </c:pt>
                  <c:pt idx="59">
                    <c:v>1.6000000000000001E-3</c:v>
                  </c:pt>
                  <c:pt idx="6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87-4EE5-B371-C207A074F8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32">
                  <c:v>-4.0154001718506246E-3</c:v>
                </c:pt>
                <c:pt idx="33">
                  <c:v>-4.034366209724213E-3</c:v>
                </c:pt>
                <c:pt idx="34">
                  <c:v>-4.670782147260198E-3</c:v>
                </c:pt>
                <c:pt idx="35">
                  <c:v>-5.0016341412772499E-3</c:v>
                </c:pt>
                <c:pt idx="36">
                  <c:v>-5.5305758641962304E-3</c:v>
                </c:pt>
                <c:pt idx="37">
                  <c:v>-5.6380500788132341E-3</c:v>
                </c:pt>
                <c:pt idx="38">
                  <c:v>-5.6865188422679618E-3</c:v>
                </c:pt>
                <c:pt idx="39">
                  <c:v>-7.8528618349401214E-3</c:v>
                </c:pt>
                <c:pt idx="40">
                  <c:v>-1.6554058543834429E-2</c:v>
                </c:pt>
                <c:pt idx="41">
                  <c:v>-1.6583561269415566E-2</c:v>
                </c:pt>
                <c:pt idx="42">
                  <c:v>-1.6583561269415566E-2</c:v>
                </c:pt>
                <c:pt idx="43">
                  <c:v>-1.8454877006276346E-2</c:v>
                </c:pt>
                <c:pt idx="44">
                  <c:v>-1.8489648075711258E-2</c:v>
                </c:pt>
                <c:pt idx="45">
                  <c:v>-1.8749904262087728E-2</c:v>
                </c:pt>
                <c:pt idx="46">
                  <c:v>-1.8758333612253767E-2</c:v>
                </c:pt>
                <c:pt idx="47">
                  <c:v>-1.9512760452114305E-2</c:v>
                </c:pt>
                <c:pt idx="48">
                  <c:v>-2.0585395260742836E-2</c:v>
                </c:pt>
                <c:pt idx="49">
                  <c:v>-2.4342778097254957E-2</c:v>
                </c:pt>
                <c:pt idx="50">
                  <c:v>-2.4452359649413471E-2</c:v>
                </c:pt>
                <c:pt idx="51">
                  <c:v>-2.4616731977651241E-2</c:v>
                </c:pt>
                <c:pt idx="52">
                  <c:v>-2.4772674955722974E-2</c:v>
                </c:pt>
                <c:pt idx="53">
                  <c:v>-2.5263684602894777E-2</c:v>
                </c:pt>
                <c:pt idx="54">
                  <c:v>-2.5468096344421234E-2</c:v>
                </c:pt>
                <c:pt idx="55">
                  <c:v>-2.6346856099230858E-2</c:v>
                </c:pt>
                <c:pt idx="56">
                  <c:v>-2.6745142894576225E-2</c:v>
                </c:pt>
                <c:pt idx="57">
                  <c:v>-3.0194854450027904E-2</c:v>
                </c:pt>
                <c:pt idx="58">
                  <c:v>-3.0253859901190179E-2</c:v>
                </c:pt>
                <c:pt idx="59">
                  <c:v>-3.0262289251356218E-2</c:v>
                </c:pt>
                <c:pt idx="60">
                  <c:v>-3.5228230167924257E-2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87-4EE5-B371-C207A074F8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-23884</c:v>
                </c:pt>
                <c:pt idx="1">
                  <c:v>-23875</c:v>
                </c:pt>
                <c:pt idx="2">
                  <c:v>-23815</c:v>
                </c:pt>
                <c:pt idx="3">
                  <c:v>-23723</c:v>
                </c:pt>
                <c:pt idx="4">
                  <c:v>-23439</c:v>
                </c:pt>
                <c:pt idx="5">
                  <c:v>-23347</c:v>
                </c:pt>
                <c:pt idx="6">
                  <c:v>-23017</c:v>
                </c:pt>
                <c:pt idx="7">
                  <c:v>-22925</c:v>
                </c:pt>
                <c:pt idx="8">
                  <c:v>-22911</c:v>
                </c:pt>
                <c:pt idx="9">
                  <c:v>-21814</c:v>
                </c:pt>
                <c:pt idx="10">
                  <c:v>-1014</c:v>
                </c:pt>
                <c:pt idx="11">
                  <c:v>-1000</c:v>
                </c:pt>
                <c:pt idx="12">
                  <c:v>-977</c:v>
                </c:pt>
                <c:pt idx="13">
                  <c:v>-839</c:v>
                </c:pt>
                <c:pt idx="14">
                  <c:v>-546</c:v>
                </c:pt>
                <c:pt idx="15">
                  <c:v>-509</c:v>
                </c:pt>
                <c:pt idx="16">
                  <c:v>-399</c:v>
                </c:pt>
                <c:pt idx="17">
                  <c:v>-357</c:v>
                </c:pt>
                <c:pt idx="18">
                  <c:v>-348</c:v>
                </c:pt>
                <c:pt idx="19">
                  <c:v>-161</c:v>
                </c:pt>
                <c:pt idx="20">
                  <c:v>-101</c:v>
                </c:pt>
                <c:pt idx="21">
                  <c:v>-83</c:v>
                </c:pt>
                <c:pt idx="22">
                  <c:v>-9</c:v>
                </c:pt>
                <c:pt idx="23">
                  <c:v>0</c:v>
                </c:pt>
                <c:pt idx="24">
                  <c:v>0</c:v>
                </c:pt>
                <c:pt idx="25">
                  <c:v>362</c:v>
                </c:pt>
                <c:pt idx="26">
                  <c:v>436</c:v>
                </c:pt>
                <c:pt idx="27">
                  <c:v>514</c:v>
                </c:pt>
                <c:pt idx="28">
                  <c:v>542</c:v>
                </c:pt>
                <c:pt idx="29">
                  <c:v>890</c:v>
                </c:pt>
                <c:pt idx="30">
                  <c:v>1386</c:v>
                </c:pt>
                <c:pt idx="31">
                  <c:v>1395</c:v>
                </c:pt>
                <c:pt idx="32">
                  <c:v>1487</c:v>
                </c:pt>
                <c:pt idx="33">
                  <c:v>1496</c:v>
                </c:pt>
                <c:pt idx="34">
                  <c:v>1798</c:v>
                </c:pt>
                <c:pt idx="35">
                  <c:v>1955</c:v>
                </c:pt>
                <c:pt idx="36">
                  <c:v>2206</c:v>
                </c:pt>
                <c:pt idx="37">
                  <c:v>2257</c:v>
                </c:pt>
                <c:pt idx="38">
                  <c:v>2280</c:v>
                </c:pt>
                <c:pt idx="39">
                  <c:v>3308</c:v>
                </c:pt>
                <c:pt idx="40">
                  <c:v>7437</c:v>
                </c:pt>
                <c:pt idx="41">
                  <c:v>7451</c:v>
                </c:pt>
                <c:pt idx="42">
                  <c:v>7451</c:v>
                </c:pt>
                <c:pt idx="43">
                  <c:v>8339</c:v>
                </c:pt>
                <c:pt idx="44">
                  <c:v>8355.5</c:v>
                </c:pt>
                <c:pt idx="45">
                  <c:v>8479</c:v>
                </c:pt>
                <c:pt idx="46">
                  <c:v>8483</c:v>
                </c:pt>
                <c:pt idx="47">
                  <c:v>8841</c:v>
                </c:pt>
                <c:pt idx="48">
                  <c:v>9350</c:v>
                </c:pt>
                <c:pt idx="49">
                  <c:v>11133</c:v>
                </c:pt>
                <c:pt idx="50">
                  <c:v>11185</c:v>
                </c:pt>
                <c:pt idx="51">
                  <c:v>11263</c:v>
                </c:pt>
                <c:pt idx="52">
                  <c:v>11337</c:v>
                </c:pt>
                <c:pt idx="53">
                  <c:v>11570</c:v>
                </c:pt>
                <c:pt idx="54">
                  <c:v>11667</c:v>
                </c:pt>
                <c:pt idx="55">
                  <c:v>12084</c:v>
                </c:pt>
                <c:pt idx="56">
                  <c:v>12273</c:v>
                </c:pt>
                <c:pt idx="57">
                  <c:v>13910</c:v>
                </c:pt>
                <c:pt idx="58">
                  <c:v>13938</c:v>
                </c:pt>
                <c:pt idx="59">
                  <c:v>13942</c:v>
                </c:pt>
                <c:pt idx="60">
                  <c:v>16298.5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87-4EE5-B371-C207A074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708088"/>
        <c:axId val="1"/>
      </c:scatterChart>
      <c:valAx>
        <c:axId val="705708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9617526562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5864022662889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708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21544615704907"/>
          <c:y val="0.92000129214617399"/>
          <c:w val="0.6813035622671812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571500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659DA7-8F97-2387-5531-47FB81523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5027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027" TargetMode="External"/><Relationship Id="rId6" Type="http://schemas.openxmlformats.org/officeDocument/2006/relationships/hyperlink" Target="http://www.konkoly.hu/cgi-bin/IBVS?5677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8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x14ac:dyDescent="0.2">
      <c r="A2" t="s">
        <v>25</v>
      </c>
      <c r="B2" s="11" t="s">
        <v>58</v>
      </c>
    </row>
    <row r="4" spans="1:6" ht="14.25" thickTop="1" thickBot="1" x14ac:dyDescent="0.25">
      <c r="A4" s="7" t="s">
        <v>1</v>
      </c>
      <c r="C4" s="3">
        <v>44770.512000000002</v>
      </c>
      <c r="D4" s="4">
        <v>0.78203040000000001</v>
      </c>
    </row>
    <row r="5" spans="1:6" ht="13.5" thickTop="1" x14ac:dyDescent="0.2">
      <c r="A5" s="18" t="s">
        <v>62</v>
      </c>
      <c r="B5" s="13"/>
      <c r="C5" s="19">
        <v>-9.5</v>
      </c>
      <c r="D5" s="13" t="s">
        <v>63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44770.512000000002</v>
      </c>
    </row>
    <row r="8" spans="1:6" x14ac:dyDescent="0.2">
      <c r="A8" t="s">
        <v>4</v>
      </c>
      <c r="C8">
        <f>+D4</f>
        <v>0.78203040000000001</v>
      </c>
    </row>
    <row r="9" spans="1:6" x14ac:dyDescent="0.2">
      <c r="A9" s="33" t="s">
        <v>68</v>
      </c>
      <c r="B9" s="34">
        <v>65</v>
      </c>
      <c r="C9" s="31" t="str">
        <f>"F"&amp;B9</f>
        <v>F65</v>
      </c>
      <c r="D9" s="32" t="str">
        <f>"G"&amp;B9</f>
        <v>G65</v>
      </c>
    </row>
    <row r="10" spans="1:6" ht="13.5" thickBot="1" x14ac:dyDescent="0.25">
      <c r="A10" s="13"/>
      <c r="B10" s="13"/>
      <c r="C10" s="6" t="s">
        <v>21</v>
      </c>
      <c r="D10" s="6" t="s">
        <v>22</v>
      </c>
      <c r="E10" s="13"/>
    </row>
    <row r="11" spans="1:6" x14ac:dyDescent="0.2">
      <c r="A11" s="13" t="s">
        <v>17</v>
      </c>
      <c r="B11" s="13"/>
      <c r="C11" s="30">
        <f ca="1">INTERCEPT(INDIRECT($D$9):G992,INDIRECT($C$9):F992)</f>
        <v>-8.8178924762542799E-4</v>
      </c>
      <c r="D11" s="5"/>
      <c r="E11" s="13"/>
    </row>
    <row r="12" spans="1:6" x14ac:dyDescent="0.2">
      <c r="A12" s="13" t="s">
        <v>18</v>
      </c>
      <c r="B12" s="13"/>
      <c r="C12" s="30">
        <f ca="1">SLOPE(INDIRECT($D$9):G992,INDIRECT($C$9):F992)</f>
        <v>-2.1073375415098832E-6</v>
      </c>
      <c r="D12" s="5"/>
      <c r="E12" s="13"/>
    </row>
    <row r="13" spans="1:6" x14ac:dyDescent="0.2">
      <c r="A13" s="13" t="s">
        <v>20</v>
      </c>
      <c r="B13" s="13"/>
      <c r="C13" s="5" t="s">
        <v>15</v>
      </c>
    </row>
    <row r="14" spans="1:6" x14ac:dyDescent="0.2">
      <c r="A14" s="13"/>
      <c r="B14" s="13"/>
      <c r="C14" s="13"/>
    </row>
    <row r="15" spans="1:6" x14ac:dyDescent="0.2">
      <c r="A15" s="20" t="s">
        <v>19</v>
      </c>
      <c r="B15" s="13"/>
      <c r="C15" s="21">
        <f ca="1">(C7+C11)+(C8+C12)*INT(MAX(F21:F3533))</f>
        <v>57516.008232023509</v>
      </c>
      <c r="E15" s="22" t="s">
        <v>69</v>
      </c>
      <c r="F15" s="19">
        <v>1</v>
      </c>
    </row>
    <row r="16" spans="1:6" x14ac:dyDescent="0.2">
      <c r="A16" s="24" t="s">
        <v>5</v>
      </c>
      <c r="B16" s="13"/>
      <c r="C16" s="25">
        <f ca="1">+C8+C12</f>
        <v>0.78202829266245855</v>
      </c>
      <c r="E16" s="22" t="s">
        <v>64</v>
      </c>
      <c r="F16" s="23">
        <f ca="1">NOW()+15018.5+$C$5/24</f>
        <v>60352.745668055555</v>
      </c>
    </row>
    <row r="17" spans="1:31" ht="13.5" thickBot="1" x14ac:dyDescent="0.25">
      <c r="A17" s="22" t="s">
        <v>60</v>
      </c>
      <c r="B17" s="13"/>
      <c r="C17" s="13">
        <f>COUNT(C21:C2191)</f>
        <v>61</v>
      </c>
      <c r="E17" s="22" t="s">
        <v>70</v>
      </c>
      <c r="F17" s="23">
        <f ca="1">ROUND(2*(F16-$C$7)/$C$8,0)/2+F15</f>
        <v>19926.5</v>
      </c>
    </row>
    <row r="18" spans="1:31" ht="14.25" thickTop="1" thickBot="1" x14ac:dyDescent="0.25">
      <c r="A18" s="24" t="s">
        <v>6</v>
      </c>
      <c r="B18" s="13"/>
      <c r="C18" s="27">
        <f ca="1">+C15</f>
        <v>57516.008232023509</v>
      </c>
      <c r="D18" s="28">
        <f ca="1">+C16</f>
        <v>0.78202829266245855</v>
      </c>
      <c r="E18" s="22" t="s">
        <v>65</v>
      </c>
      <c r="F18" s="32">
        <f ca="1">ROUND(2*(F16-$C$15)/$C$16,0)/2+F15</f>
        <v>3628.5</v>
      </c>
    </row>
    <row r="19" spans="1:31" ht="13.5" thickTop="1" x14ac:dyDescent="0.2">
      <c r="E19" s="22" t="s">
        <v>66</v>
      </c>
      <c r="F19" s="26">
        <f ca="1">+$C$15+$C$16*F18-15018.5-$C$5/24</f>
        <v>45335.493725282577</v>
      </c>
    </row>
    <row r="20" spans="1:3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81</v>
      </c>
      <c r="I20" s="9" t="s">
        <v>84</v>
      </c>
      <c r="J20" s="9" t="s">
        <v>78</v>
      </c>
      <c r="K20" s="9" t="s">
        <v>76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3" t="s">
        <v>307</v>
      </c>
    </row>
    <row r="21" spans="1:31" x14ac:dyDescent="0.2">
      <c r="A21" s="50" t="s">
        <v>91</v>
      </c>
      <c r="B21" s="52" t="s">
        <v>54</v>
      </c>
      <c r="C21" s="51">
        <v>26092.452000000001</v>
      </c>
      <c r="D21" s="51" t="s">
        <v>84</v>
      </c>
      <c r="E21">
        <f t="shared" ref="E21:E52" si="0">+(C21-C$7)/C$8</f>
        <v>-23884.058727128766</v>
      </c>
      <c r="F21">
        <f t="shared" ref="F21:F52" si="1">ROUND(2*E21,0)/2</f>
        <v>-23884</v>
      </c>
      <c r="G21">
        <f t="shared" ref="G21:G52" si="2">+C21-(C$7+F21*C$8)</f>
        <v>-4.59264000019175E-2</v>
      </c>
      <c r="I21">
        <f t="shared" ref="I21:I44" si="3">+G21</f>
        <v>-4.59264000019175E-2</v>
      </c>
      <c r="Q21" s="2">
        <f t="shared" ref="Q21:Q52" si="4">+C21-15018.5</f>
        <v>11073.952000000001</v>
      </c>
    </row>
    <row r="22" spans="1:31" x14ac:dyDescent="0.2">
      <c r="A22" s="50" t="s">
        <v>91</v>
      </c>
      <c r="B22" s="52" t="s">
        <v>54</v>
      </c>
      <c r="C22" s="51">
        <v>26099.526999999998</v>
      </c>
      <c r="D22" s="51" t="s">
        <v>84</v>
      </c>
      <c r="E22">
        <f t="shared" si="0"/>
        <v>-23875.011764248557</v>
      </c>
      <c r="F22">
        <f t="shared" si="1"/>
        <v>-23875</v>
      </c>
      <c r="G22">
        <f t="shared" si="2"/>
        <v>-9.200000004057074E-3</v>
      </c>
      <c r="I22">
        <f t="shared" si="3"/>
        <v>-9.200000004057074E-3</v>
      </c>
      <c r="Q22" s="2">
        <f t="shared" si="4"/>
        <v>11081.026999999998</v>
      </c>
    </row>
    <row r="23" spans="1:31" x14ac:dyDescent="0.2">
      <c r="A23" s="50" t="s">
        <v>91</v>
      </c>
      <c r="B23" s="52" t="s">
        <v>54</v>
      </c>
      <c r="C23" s="51">
        <v>26146.456999999999</v>
      </c>
      <c r="D23" s="51" t="s">
        <v>84</v>
      </c>
      <c r="E23">
        <f t="shared" si="0"/>
        <v>-23815.001309412019</v>
      </c>
      <c r="F23">
        <f t="shared" si="1"/>
        <v>-23815</v>
      </c>
      <c r="G23">
        <f t="shared" si="2"/>
        <v>-1.0240000046906061E-3</v>
      </c>
      <c r="I23">
        <f t="shared" si="3"/>
        <v>-1.0240000046906061E-3</v>
      </c>
      <c r="Q23" s="2">
        <f t="shared" si="4"/>
        <v>11127.956999999999</v>
      </c>
    </row>
    <row r="24" spans="1:31" x14ac:dyDescent="0.2">
      <c r="A24" s="50" t="s">
        <v>91</v>
      </c>
      <c r="B24" s="52" t="s">
        <v>54</v>
      </c>
      <c r="C24" s="51">
        <v>26218.366999999998</v>
      </c>
      <c r="D24" s="51" t="s">
        <v>84</v>
      </c>
      <c r="E24">
        <f t="shared" si="0"/>
        <v>-23723.048362314308</v>
      </c>
      <c r="F24">
        <f t="shared" si="1"/>
        <v>-23723</v>
      </c>
      <c r="G24">
        <f t="shared" si="2"/>
        <v>-3.7820800003828481E-2</v>
      </c>
      <c r="I24">
        <f t="shared" si="3"/>
        <v>-3.7820800003828481E-2</v>
      </c>
      <c r="Q24" s="2">
        <f t="shared" si="4"/>
        <v>11199.866999999998</v>
      </c>
    </row>
    <row r="25" spans="1:31" x14ac:dyDescent="0.2">
      <c r="A25" s="50" t="s">
        <v>91</v>
      </c>
      <c r="B25" s="52" t="s">
        <v>54</v>
      </c>
      <c r="C25" s="51">
        <v>26440.448</v>
      </c>
      <c r="D25" s="51" t="s">
        <v>84</v>
      </c>
      <c r="E25">
        <f t="shared" si="0"/>
        <v>-23439.068353353017</v>
      </c>
      <c r="F25">
        <f t="shared" si="1"/>
        <v>-23439</v>
      </c>
      <c r="G25">
        <f t="shared" si="2"/>
        <v>-5.3454400000191526E-2</v>
      </c>
      <c r="I25">
        <f t="shared" si="3"/>
        <v>-5.3454400000191526E-2</v>
      </c>
      <c r="Q25" s="2">
        <f t="shared" si="4"/>
        <v>11421.948</v>
      </c>
    </row>
    <row r="26" spans="1:31" x14ac:dyDescent="0.2">
      <c r="A26" s="50" t="s">
        <v>91</v>
      </c>
      <c r="B26" s="52" t="s">
        <v>54</v>
      </c>
      <c r="C26" s="51">
        <v>26512.466</v>
      </c>
      <c r="D26" s="51" t="s">
        <v>84</v>
      </c>
      <c r="E26">
        <f t="shared" si="0"/>
        <v>-23346.977304207103</v>
      </c>
      <c r="F26">
        <f t="shared" si="1"/>
        <v>-23347</v>
      </c>
      <c r="G26">
        <f t="shared" si="2"/>
        <v>1.7748799997207243E-2</v>
      </c>
      <c r="I26">
        <f t="shared" si="3"/>
        <v>1.7748799997207243E-2</v>
      </c>
      <c r="Q26" s="2">
        <f t="shared" si="4"/>
        <v>11493.966</v>
      </c>
    </row>
    <row r="27" spans="1:31" x14ac:dyDescent="0.2">
      <c r="A27" s="50" t="s">
        <v>91</v>
      </c>
      <c r="B27" s="52" t="s">
        <v>54</v>
      </c>
      <c r="C27" s="51">
        <v>26770.543000000001</v>
      </c>
      <c r="D27" s="51" t="s">
        <v>84</v>
      </c>
      <c r="E27">
        <f t="shared" si="0"/>
        <v>-23016.968394067546</v>
      </c>
      <c r="F27">
        <f t="shared" si="1"/>
        <v>-23017</v>
      </c>
      <c r="G27">
        <f t="shared" si="2"/>
        <v>2.4716799998714123E-2</v>
      </c>
      <c r="I27">
        <f t="shared" si="3"/>
        <v>2.4716799998714123E-2</v>
      </c>
      <c r="Q27" s="2">
        <f t="shared" si="4"/>
        <v>11752.043000000001</v>
      </c>
    </row>
    <row r="28" spans="1:31" x14ac:dyDescent="0.2">
      <c r="A28" s="50" t="s">
        <v>91</v>
      </c>
      <c r="B28" s="52" t="s">
        <v>54</v>
      </c>
      <c r="C28" s="51">
        <v>26842.476999999999</v>
      </c>
      <c r="D28" s="51" t="s">
        <v>84</v>
      </c>
      <c r="E28">
        <f t="shared" si="0"/>
        <v>-22924.984757625796</v>
      </c>
      <c r="F28">
        <f t="shared" si="1"/>
        <v>-22925</v>
      </c>
      <c r="G28">
        <f t="shared" si="2"/>
        <v>1.1919999997189734E-2</v>
      </c>
      <c r="I28">
        <f t="shared" si="3"/>
        <v>1.1919999997189734E-2</v>
      </c>
      <c r="Q28" s="2">
        <f t="shared" si="4"/>
        <v>11823.976999999999</v>
      </c>
    </row>
    <row r="29" spans="1:31" x14ac:dyDescent="0.2">
      <c r="A29" s="50" t="s">
        <v>91</v>
      </c>
      <c r="B29" s="52" t="s">
        <v>54</v>
      </c>
      <c r="C29" s="51">
        <v>26853.420999999998</v>
      </c>
      <c r="D29" s="51" t="s">
        <v>84</v>
      </c>
      <c r="E29">
        <f t="shared" si="0"/>
        <v>-22910.990416740839</v>
      </c>
      <c r="F29">
        <f t="shared" si="1"/>
        <v>-22911</v>
      </c>
      <c r="G29">
        <f t="shared" si="2"/>
        <v>7.4943999970855657E-3</v>
      </c>
      <c r="I29">
        <f t="shared" si="3"/>
        <v>7.4943999970855657E-3</v>
      </c>
      <c r="Q29" s="2">
        <f t="shared" si="4"/>
        <v>11834.920999999998</v>
      </c>
    </row>
    <row r="30" spans="1:31" x14ac:dyDescent="0.2">
      <c r="A30" s="50" t="s">
        <v>91</v>
      </c>
      <c r="B30" s="52" t="s">
        <v>54</v>
      </c>
      <c r="C30" s="51">
        <v>27711.311000000002</v>
      </c>
      <c r="D30" s="51" t="s">
        <v>84</v>
      </c>
      <c r="E30">
        <f t="shared" si="0"/>
        <v>-21813.987026591294</v>
      </c>
      <c r="F30">
        <f t="shared" si="1"/>
        <v>-21814</v>
      </c>
      <c r="G30">
        <f t="shared" si="2"/>
        <v>1.0145600001123967E-2</v>
      </c>
      <c r="I30">
        <f t="shared" si="3"/>
        <v>1.0145600001123967E-2</v>
      </c>
      <c r="Q30" s="2">
        <f t="shared" si="4"/>
        <v>12692.811000000002</v>
      </c>
    </row>
    <row r="31" spans="1:31" x14ac:dyDescent="0.2">
      <c r="A31" t="s">
        <v>30</v>
      </c>
      <c r="C31" s="16">
        <v>43977.523000000001</v>
      </c>
      <c r="D31" s="16"/>
      <c r="E31">
        <f t="shared" si="0"/>
        <v>-1014.013010235921</v>
      </c>
      <c r="F31">
        <f t="shared" si="1"/>
        <v>-1014</v>
      </c>
      <c r="G31">
        <f t="shared" si="2"/>
        <v>-1.0174399998504668E-2</v>
      </c>
      <c r="I31">
        <f t="shared" si="3"/>
        <v>-1.0174399998504668E-2</v>
      </c>
      <c r="Q31" s="2">
        <f t="shared" si="4"/>
        <v>28959.023000000001</v>
      </c>
      <c r="AA31">
        <v>8</v>
      </c>
      <c r="AC31" t="s">
        <v>29</v>
      </c>
      <c r="AE31" t="s">
        <v>31</v>
      </c>
    </row>
    <row r="32" spans="1:31" x14ac:dyDescent="0.2">
      <c r="A32" t="s">
        <v>30</v>
      </c>
      <c r="C32" s="16">
        <v>43988.476999999999</v>
      </c>
      <c r="D32" s="16"/>
      <c r="E32">
        <f t="shared" si="0"/>
        <v>-1000.0058821242799</v>
      </c>
      <c r="F32">
        <f t="shared" si="1"/>
        <v>-1000</v>
      </c>
      <c r="G32">
        <f t="shared" si="2"/>
        <v>-4.6000000002095476E-3</v>
      </c>
      <c r="I32">
        <f t="shared" si="3"/>
        <v>-4.6000000002095476E-3</v>
      </c>
      <c r="Q32" s="2">
        <f t="shared" si="4"/>
        <v>28969.976999999999</v>
      </c>
      <c r="AA32">
        <v>8</v>
      </c>
      <c r="AC32" t="s">
        <v>29</v>
      </c>
      <c r="AE32" t="s">
        <v>31</v>
      </c>
    </row>
    <row r="33" spans="1:31" x14ac:dyDescent="0.2">
      <c r="A33" t="s">
        <v>30</v>
      </c>
      <c r="C33" s="16">
        <v>44006.472000000002</v>
      </c>
      <c r="D33" s="16"/>
      <c r="E33">
        <f t="shared" si="0"/>
        <v>-976.99526770314924</v>
      </c>
      <c r="F33">
        <f t="shared" si="1"/>
        <v>-977</v>
      </c>
      <c r="G33">
        <f t="shared" si="2"/>
        <v>3.7007999999332242E-3</v>
      </c>
      <c r="I33">
        <f t="shared" si="3"/>
        <v>3.7007999999332242E-3</v>
      </c>
      <c r="Q33" s="2">
        <f t="shared" si="4"/>
        <v>28987.972000000002</v>
      </c>
      <c r="AA33">
        <v>7</v>
      </c>
      <c r="AC33" t="s">
        <v>29</v>
      </c>
      <c r="AE33" t="s">
        <v>31</v>
      </c>
    </row>
    <row r="34" spans="1:31" x14ac:dyDescent="0.2">
      <c r="A34" t="s">
        <v>32</v>
      </c>
      <c r="C34" s="16">
        <v>44114.394</v>
      </c>
      <c r="D34" s="16"/>
      <c r="E34">
        <f t="shared" si="0"/>
        <v>-838.99295986447862</v>
      </c>
      <c r="F34">
        <f t="shared" si="1"/>
        <v>-839</v>
      </c>
      <c r="G34">
        <f t="shared" si="2"/>
        <v>5.5055999982869253E-3</v>
      </c>
      <c r="I34">
        <f t="shared" si="3"/>
        <v>5.5055999982869253E-3</v>
      </c>
      <c r="Q34" s="2">
        <f t="shared" si="4"/>
        <v>29095.894</v>
      </c>
      <c r="AA34">
        <v>6</v>
      </c>
      <c r="AC34" t="s">
        <v>29</v>
      </c>
      <c r="AE34" t="s">
        <v>31</v>
      </c>
    </row>
    <row r="35" spans="1:31" x14ac:dyDescent="0.2">
      <c r="A35" t="s">
        <v>33</v>
      </c>
      <c r="C35" s="16">
        <v>44343.533000000003</v>
      </c>
      <c r="D35" s="16"/>
      <c r="E35">
        <f t="shared" si="0"/>
        <v>-545.98772630833707</v>
      </c>
      <c r="F35">
        <f t="shared" si="1"/>
        <v>-546</v>
      </c>
      <c r="G35">
        <f t="shared" si="2"/>
        <v>9.5983999999589287E-3</v>
      </c>
      <c r="I35">
        <f t="shared" si="3"/>
        <v>9.5983999999589287E-3</v>
      </c>
      <c r="Q35" s="2">
        <f t="shared" si="4"/>
        <v>29325.033000000003</v>
      </c>
      <c r="AA35">
        <v>6</v>
      </c>
      <c r="AC35" t="s">
        <v>29</v>
      </c>
      <c r="AE35" t="s">
        <v>31</v>
      </c>
    </row>
    <row r="36" spans="1:31" x14ac:dyDescent="0.2">
      <c r="A36" t="s">
        <v>34</v>
      </c>
      <c r="C36" s="16">
        <v>44372.453999999998</v>
      </c>
      <c r="D36" s="16"/>
      <c r="E36">
        <f t="shared" si="0"/>
        <v>-509.00578801029286</v>
      </c>
      <c r="F36">
        <f t="shared" si="1"/>
        <v>-509</v>
      </c>
      <c r="G36">
        <f t="shared" si="2"/>
        <v>-4.5264000073075294E-3</v>
      </c>
      <c r="I36">
        <f t="shared" si="3"/>
        <v>-4.5264000073075294E-3</v>
      </c>
      <c r="Q36" s="2">
        <f t="shared" si="4"/>
        <v>29353.953999999998</v>
      </c>
      <c r="AA36">
        <v>6</v>
      </c>
      <c r="AC36" t="s">
        <v>29</v>
      </c>
      <c r="AE36" t="s">
        <v>31</v>
      </c>
    </row>
    <row r="37" spans="1:31" x14ac:dyDescent="0.2">
      <c r="A37" t="s">
        <v>35</v>
      </c>
      <c r="C37" s="16">
        <v>44458.487999999998</v>
      </c>
      <c r="D37" s="16"/>
      <c r="E37">
        <f t="shared" si="0"/>
        <v>-398.99216194153689</v>
      </c>
      <c r="F37">
        <f t="shared" si="1"/>
        <v>-399</v>
      </c>
      <c r="G37">
        <f t="shared" si="2"/>
        <v>6.1295999985304661E-3</v>
      </c>
      <c r="I37">
        <f t="shared" si="3"/>
        <v>6.1295999985304661E-3</v>
      </c>
      <c r="Q37" s="2">
        <f t="shared" si="4"/>
        <v>29439.987999999998</v>
      </c>
      <c r="AA37">
        <v>6</v>
      </c>
      <c r="AC37" t="s">
        <v>29</v>
      </c>
      <c r="AE37" t="s">
        <v>31</v>
      </c>
    </row>
    <row r="38" spans="1:31" x14ac:dyDescent="0.2">
      <c r="A38" t="s">
        <v>36</v>
      </c>
      <c r="C38" s="16">
        <v>44491.332999999999</v>
      </c>
      <c r="D38" s="16"/>
      <c r="E38">
        <f t="shared" si="0"/>
        <v>-356.99251589197007</v>
      </c>
      <c r="F38">
        <f t="shared" si="1"/>
        <v>-357</v>
      </c>
      <c r="G38">
        <f t="shared" si="2"/>
        <v>5.8527999935904518E-3</v>
      </c>
      <c r="I38">
        <f t="shared" si="3"/>
        <v>5.8527999935904518E-3</v>
      </c>
      <c r="Q38" s="2">
        <f t="shared" si="4"/>
        <v>29472.832999999999</v>
      </c>
      <c r="AA38">
        <v>6</v>
      </c>
      <c r="AC38" t="s">
        <v>29</v>
      </c>
      <c r="AE38" t="s">
        <v>31</v>
      </c>
    </row>
    <row r="39" spans="1:31" x14ac:dyDescent="0.2">
      <c r="A39" t="s">
        <v>36</v>
      </c>
      <c r="C39" s="16">
        <v>44498.379000000001</v>
      </c>
      <c r="D39" s="16"/>
      <c r="E39">
        <f t="shared" si="0"/>
        <v>-347.98263596914086</v>
      </c>
      <c r="F39">
        <f t="shared" si="1"/>
        <v>-348</v>
      </c>
      <c r="G39">
        <f t="shared" si="2"/>
        <v>1.3579200000094716E-2</v>
      </c>
      <c r="I39">
        <f t="shared" si="3"/>
        <v>1.3579200000094716E-2</v>
      </c>
      <c r="Q39" s="2">
        <f t="shared" si="4"/>
        <v>29479.879000000001</v>
      </c>
      <c r="AA39">
        <v>6</v>
      </c>
      <c r="AC39" t="s">
        <v>29</v>
      </c>
      <c r="AE39" t="s">
        <v>31</v>
      </c>
    </row>
    <row r="40" spans="1:31" x14ac:dyDescent="0.2">
      <c r="A40" t="s">
        <v>37</v>
      </c>
      <c r="C40" s="16">
        <v>44644.62</v>
      </c>
      <c r="D40" s="16"/>
      <c r="E40">
        <f t="shared" si="0"/>
        <v>-160.98095419308484</v>
      </c>
      <c r="F40">
        <f t="shared" si="1"/>
        <v>-161</v>
      </c>
      <c r="G40">
        <f t="shared" si="2"/>
        <v>1.4894400002958719E-2</v>
      </c>
      <c r="I40">
        <f t="shared" si="3"/>
        <v>1.4894400002958719E-2</v>
      </c>
      <c r="Q40" s="2">
        <f t="shared" si="4"/>
        <v>29626.120000000003</v>
      </c>
      <c r="AA40">
        <v>6</v>
      </c>
      <c r="AC40" t="s">
        <v>29</v>
      </c>
      <c r="AE40" t="s">
        <v>31</v>
      </c>
    </row>
    <row r="41" spans="1:31" x14ac:dyDescent="0.2">
      <c r="A41" t="s">
        <v>37</v>
      </c>
      <c r="C41" s="16">
        <v>44691.534</v>
      </c>
      <c r="D41" s="16"/>
      <c r="E41">
        <f t="shared" si="0"/>
        <v>-100.99095891924763</v>
      </c>
      <c r="F41">
        <f t="shared" si="1"/>
        <v>-101</v>
      </c>
      <c r="G41">
        <f t="shared" si="2"/>
        <v>7.0703999954275787E-3</v>
      </c>
      <c r="I41">
        <f t="shared" si="3"/>
        <v>7.0703999954275787E-3</v>
      </c>
      <c r="Q41" s="2">
        <f t="shared" si="4"/>
        <v>29673.034</v>
      </c>
      <c r="AA41">
        <v>6</v>
      </c>
      <c r="AC41" t="s">
        <v>29</v>
      </c>
      <c r="AE41" t="s">
        <v>31</v>
      </c>
    </row>
    <row r="42" spans="1:31" x14ac:dyDescent="0.2">
      <c r="A42" t="s">
        <v>38</v>
      </c>
      <c r="C42" s="16">
        <v>44705.608999999997</v>
      </c>
      <c r="D42" s="16"/>
      <c r="E42">
        <f t="shared" si="0"/>
        <v>-82.992937358964184</v>
      </c>
      <c r="F42">
        <f t="shared" si="1"/>
        <v>-83</v>
      </c>
      <c r="G42">
        <f t="shared" si="2"/>
        <v>5.5231999940588139E-3</v>
      </c>
      <c r="I42">
        <f t="shared" si="3"/>
        <v>5.5231999940588139E-3</v>
      </c>
      <c r="Q42" s="2">
        <f t="shared" si="4"/>
        <v>29687.108999999997</v>
      </c>
      <c r="AA42">
        <v>6</v>
      </c>
      <c r="AC42" t="s">
        <v>29</v>
      </c>
      <c r="AE42" t="s">
        <v>31</v>
      </c>
    </row>
    <row r="43" spans="1:31" x14ac:dyDescent="0.2">
      <c r="A43" t="s">
        <v>39</v>
      </c>
      <c r="C43" s="16">
        <v>44763.47</v>
      </c>
      <c r="D43" s="16"/>
      <c r="E43">
        <f t="shared" si="0"/>
        <v>-9.0047650321538395</v>
      </c>
      <c r="F43">
        <f t="shared" si="1"/>
        <v>-9</v>
      </c>
      <c r="G43">
        <f t="shared" si="2"/>
        <v>-3.7263999984133989E-3</v>
      </c>
      <c r="I43">
        <f t="shared" si="3"/>
        <v>-3.7263999984133989E-3</v>
      </c>
      <c r="Q43" s="2">
        <f t="shared" si="4"/>
        <v>29744.97</v>
      </c>
      <c r="AA43">
        <v>9</v>
      </c>
      <c r="AC43" t="s">
        <v>29</v>
      </c>
      <c r="AE43" t="s">
        <v>31</v>
      </c>
    </row>
    <row r="44" spans="1:31" x14ac:dyDescent="0.2">
      <c r="A44" t="s">
        <v>39</v>
      </c>
      <c r="C44" s="16">
        <v>44770.512000000002</v>
      </c>
      <c r="D44" s="16"/>
      <c r="E44">
        <f t="shared" si="0"/>
        <v>0</v>
      </c>
      <c r="F44">
        <f t="shared" si="1"/>
        <v>0</v>
      </c>
      <c r="G44">
        <f t="shared" si="2"/>
        <v>0</v>
      </c>
      <c r="I44">
        <f t="shared" si="3"/>
        <v>0</v>
      </c>
      <c r="Q44" s="2">
        <f t="shared" si="4"/>
        <v>29752.012000000002</v>
      </c>
      <c r="AA44">
        <v>6</v>
      </c>
      <c r="AC44" t="s">
        <v>29</v>
      </c>
      <c r="AE44" t="s">
        <v>31</v>
      </c>
    </row>
    <row r="45" spans="1:31" x14ac:dyDescent="0.2">
      <c r="A45" t="s">
        <v>13</v>
      </c>
      <c r="C45" s="16">
        <v>44770.512000000002</v>
      </c>
      <c r="D45" s="16" t="s">
        <v>15</v>
      </c>
      <c r="E45">
        <f t="shared" si="0"/>
        <v>0</v>
      </c>
      <c r="F45">
        <f t="shared" si="1"/>
        <v>0</v>
      </c>
      <c r="G45">
        <f t="shared" si="2"/>
        <v>0</v>
      </c>
      <c r="H45">
        <f>+G45</f>
        <v>0</v>
      </c>
      <c r="Q45" s="2">
        <f t="shared" si="4"/>
        <v>29752.012000000002</v>
      </c>
    </row>
    <row r="46" spans="1:31" x14ac:dyDescent="0.2">
      <c r="A46" t="s">
        <v>40</v>
      </c>
      <c r="C46" s="16">
        <v>45053.606</v>
      </c>
      <c r="D46" s="16"/>
      <c r="E46">
        <f t="shared" si="0"/>
        <v>361.99871513945919</v>
      </c>
      <c r="F46">
        <f t="shared" si="1"/>
        <v>362</v>
      </c>
      <c r="G46">
        <f t="shared" si="2"/>
        <v>-1.0048000040114857E-3</v>
      </c>
      <c r="I46">
        <f t="shared" ref="I46:I60" si="5">+G46</f>
        <v>-1.0048000040114857E-3</v>
      </c>
      <c r="Q46" s="2">
        <f t="shared" si="4"/>
        <v>30035.106</v>
      </c>
      <c r="AA46">
        <v>6</v>
      </c>
      <c r="AC46" t="s">
        <v>29</v>
      </c>
      <c r="AE46" t="s">
        <v>31</v>
      </c>
    </row>
    <row r="47" spans="1:31" x14ac:dyDescent="0.2">
      <c r="A47" t="s">
        <v>41</v>
      </c>
      <c r="C47" s="16">
        <v>45111.47</v>
      </c>
      <c r="D47" s="16"/>
      <c r="E47">
        <f t="shared" si="0"/>
        <v>435.99072363427138</v>
      </c>
      <c r="F47">
        <f t="shared" si="1"/>
        <v>436</v>
      </c>
      <c r="G47">
        <f t="shared" si="2"/>
        <v>-7.2543999995104969E-3</v>
      </c>
      <c r="I47">
        <f t="shared" si="5"/>
        <v>-7.2543999995104969E-3</v>
      </c>
      <c r="Q47" s="2">
        <f t="shared" si="4"/>
        <v>30092.97</v>
      </c>
      <c r="AA47">
        <v>6</v>
      </c>
      <c r="AC47" t="s">
        <v>29</v>
      </c>
      <c r="AE47" t="s">
        <v>31</v>
      </c>
    </row>
    <row r="48" spans="1:31" x14ac:dyDescent="0.2">
      <c r="A48" t="s">
        <v>42</v>
      </c>
      <c r="C48" s="16">
        <v>45172.485999999997</v>
      </c>
      <c r="D48" s="16"/>
      <c r="E48">
        <f t="shared" si="0"/>
        <v>514.01326598044614</v>
      </c>
      <c r="F48">
        <f t="shared" si="1"/>
        <v>514</v>
      </c>
      <c r="G48">
        <f t="shared" si="2"/>
        <v>1.0374399993452244E-2</v>
      </c>
      <c r="I48">
        <f t="shared" si="5"/>
        <v>1.0374399993452244E-2</v>
      </c>
      <c r="Q48" s="2">
        <f t="shared" si="4"/>
        <v>30153.985999999997</v>
      </c>
      <c r="AA48">
        <v>7</v>
      </c>
      <c r="AC48" t="s">
        <v>29</v>
      </c>
      <c r="AE48" t="s">
        <v>31</v>
      </c>
    </row>
    <row r="49" spans="1:31" x14ac:dyDescent="0.2">
      <c r="A49" t="s">
        <v>43</v>
      </c>
      <c r="C49" s="16">
        <v>45194.368999999999</v>
      </c>
      <c r="D49" s="16"/>
      <c r="E49">
        <f t="shared" si="0"/>
        <v>541.99555413702114</v>
      </c>
      <c r="F49">
        <f t="shared" si="1"/>
        <v>542</v>
      </c>
      <c r="G49">
        <f t="shared" si="2"/>
        <v>-3.4768000041367486E-3</v>
      </c>
      <c r="I49">
        <f t="shared" si="5"/>
        <v>-3.4768000041367486E-3</v>
      </c>
      <c r="Q49" s="2">
        <f t="shared" si="4"/>
        <v>30175.868999999999</v>
      </c>
      <c r="AA49">
        <v>6</v>
      </c>
      <c r="AC49" t="s">
        <v>29</v>
      </c>
      <c r="AE49" t="s">
        <v>31</v>
      </c>
    </row>
    <row r="50" spans="1:31" x14ac:dyDescent="0.2">
      <c r="A50" t="s">
        <v>44</v>
      </c>
      <c r="C50" s="16">
        <v>45466.491000000002</v>
      </c>
      <c r="D50" s="16"/>
      <c r="E50">
        <f t="shared" si="0"/>
        <v>889.96412415680948</v>
      </c>
      <c r="F50">
        <f t="shared" si="1"/>
        <v>890</v>
      </c>
      <c r="G50">
        <f t="shared" si="2"/>
        <v>-2.805600000283448E-2</v>
      </c>
      <c r="I50">
        <f t="shared" si="5"/>
        <v>-2.805600000283448E-2</v>
      </c>
      <c r="Q50" s="2">
        <f t="shared" si="4"/>
        <v>30447.991000000002</v>
      </c>
      <c r="AA50">
        <v>6</v>
      </c>
      <c r="AC50" t="s">
        <v>29</v>
      </c>
      <c r="AE50" t="s">
        <v>31</v>
      </c>
    </row>
    <row r="51" spans="1:31" x14ac:dyDescent="0.2">
      <c r="A51" t="s">
        <v>46</v>
      </c>
      <c r="C51" s="16">
        <v>45854.398999999998</v>
      </c>
      <c r="D51" s="16"/>
      <c r="E51">
        <f t="shared" si="0"/>
        <v>1385.990877080987</v>
      </c>
      <c r="F51">
        <f t="shared" si="1"/>
        <v>1386</v>
      </c>
      <c r="G51">
        <f t="shared" si="2"/>
        <v>-7.1344000025419518E-3</v>
      </c>
      <c r="I51">
        <f t="shared" si="5"/>
        <v>-7.1344000025419518E-3</v>
      </c>
      <c r="Q51" s="2">
        <f t="shared" si="4"/>
        <v>30835.898999999998</v>
      </c>
      <c r="AA51">
        <v>8</v>
      </c>
      <c r="AC51" t="s">
        <v>45</v>
      </c>
      <c r="AE51" t="s">
        <v>31</v>
      </c>
    </row>
    <row r="52" spans="1:31" x14ac:dyDescent="0.2">
      <c r="A52" t="s">
        <v>46</v>
      </c>
      <c r="C52" s="16">
        <v>45861.436000000002</v>
      </c>
      <c r="D52" s="16"/>
      <c r="E52">
        <f t="shared" si="0"/>
        <v>1394.9892484998013</v>
      </c>
      <c r="F52">
        <f t="shared" si="1"/>
        <v>1395</v>
      </c>
      <c r="G52">
        <f t="shared" si="2"/>
        <v>-8.4080000015092082E-3</v>
      </c>
      <c r="I52">
        <f t="shared" si="5"/>
        <v>-8.4080000015092082E-3</v>
      </c>
      <c r="Q52" s="2">
        <f t="shared" si="4"/>
        <v>30842.936000000002</v>
      </c>
      <c r="AA52">
        <v>6</v>
      </c>
      <c r="AC52" t="s">
        <v>29</v>
      </c>
      <c r="AE52" t="s">
        <v>31</v>
      </c>
    </row>
    <row r="53" spans="1:31" x14ac:dyDescent="0.2">
      <c r="A53" t="s">
        <v>47</v>
      </c>
      <c r="C53" s="16">
        <v>45933.394999999997</v>
      </c>
      <c r="D53" s="16"/>
      <c r="E53">
        <f t="shared" ref="E53:E81" si="6">+(C53-C$7)/C$8</f>
        <v>1487.0048530082645</v>
      </c>
      <c r="F53">
        <f t="shared" ref="F53:F81" si="7">ROUND(2*E53,0)/2</f>
        <v>1487</v>
      </c>
      <c r="G53">
        <f t="shared" ref="G53:G81" si="8">+C53-(C$7+F53*C$8)</f>
        <v>3.7951999911456369E-3</v>
      </c>
      <c r="I53">
        <f t="shared" si="5"/>
        <v>3.7951999911456369E-3</v>
      </c>
      <c r="O53">
        <f t="shared" ref="O53:O81" ca="1" si="9">+C$11+C$12*F53</f>
        <v>-4.0154001718506246E-3</v>
      </c>
      <c r="Q53" s="2">
        <f t="shared" ref="Q53:Q81" si="10">+C53-15018.5</f>
        <v>30914.894999999997</v>
      </c>
      <c r="AA53">
        <v>6</v>
      </c>
      <c r="AC53" t="s">
        <v>29</v>
      </c>
      <c r="AE53" t="s">
        <v>31</v>
      </c>
    </row>
    <row r="54" spans="1:31" x14ac:dyDescent="0.2">
      <c r="A54" t="s">
        <v>47</v>
      </c>
      <c r="C54" s="16">
        <v>45940.415000000001</v>
      </c>
      <c r="D54" s="16"/>
      <c r="E54">
        <f t="shared" si="6"/>
        <v>1495.9814861417133</v>
      </c>
      <c r="F54">
        <f t="shared" si="7"/>
        <v>1496</v>
      </c>
      <c r="G54">
        <f t="shared" si="8"/>
        <v>-1.4478400000371039E-2</v>
      </c>
      <c r="I54">
        <f t="shared" si="5"/>
        <v>-1.4478400000371039E-2</v>
      </c>
      <c r="O54">
        <f t="shared" ca="1" si="9"/>
        <v>-4.034366209724213E-3</v>
      </c>
      <c r="Q54" s="2">
        <f t="shared" si="10"/>
        <v>30921.915000000001</v>
      </c>
      <c r="AA54">
        <v>6</v>
      </c>
      <c r="AC54" t="s">
        <v>29</v>
      </c>
      <c r="AE54" t="s">
        <v>31</v>
      </c>
    </row>
    <row r="55" spans="1:31" x14ac:dyDescent="0.2">
      <c r="A55" t="s">
        <v>48</v>
      </c>
      <c r="C55" s="16">
        <v>46176.601000000002</v>
      </c>
      <c r="D55" s="16"/>
      <c r="E55">
        <f t="shared" si="6"/>
        <v>1797.9978783433482</v>
      </c>
      <c r="F55">
        <f t="shared" si="7"/>
        <v>1798</v>
      </c>
      <c r="G55">
        <f t="shared" si="8"/>
        <v>-1.6592000029049814E-3</v>
      </c>
      <c r="I55">
        <f t="shared" si="5"/>
        <v>-1.6592000029049814E-3</v>
      </c>
      <c r="O55">
        <f t="shared" ca="1" si="9"/>
        <v>-4.670782147260198E-3</v>
      </c>
      <c r="Q55" s="2">
        <f t="shared" si="10"/>
        <v>31158.101000000002</v>
      </c>
      <c r="AA55">
        <v>6</v>
      </c>
      <c r="AC55" t="s">
        <v>29</v>
      </c>
      <c r="AE55" t="s">
        <v>31</v>
      </c>
    </row>
    <row r="56" spans="1:31" x14ac:dyDescent="0.2">
      <c r="A56" t="s">
        <v>49</v>
      </c>
      <c r="C56" s="16">
        <v>46299.374000000003</v>
      </c>
      <c r="D56" s="16"/>
      <c r="E56">
        <f t="shared" si="6"/>
        <v>1954.9904965331284</v>
      </c>
      <c r="F56">
        <f t="shared" si="7"/>
        <v>1955</v>
      </c>
      <c r="G56">
        <f t="shared" si="8"/>
        <v>-7.4319999985164031E-3</v>
      </c>
      <c r="I56">
        <f t="shared" si="5"/>
        <v>-7.4319999985164031E-3</v>
      </c>
      <c r="O56">
        <f t="shared" ca="1" si="9"/>
        <v>-5.0016341412772499E-3</v>
      </c>
      <c r="Q56" s="2">
        <f t="shared" si="10"/>
        <v>31280.874000000003</v>
      </c>
      <c r="AA56">
        <v>7</v>
      </c>
      <c r="AC56" t="s">
        <v>29</v>
      </c>
      <c r="AE56" t="s">
        <v>31</v>
      </c>
    </row>
    <row r="57" spans="1:31" x14ac:dyDescent="0.2">
      <c r="A57" t="s">
        <v>50</v>
      </c>
      <c r="C57" s="16">
        <v>46495.658000000003</v>
      </c>
      <c r="D57" s="16"/>
      <c r="E57">
        <f t="shared" si="6"/>
        <v>2205.9832968130145</v>
      </c>
      <c r="F57">
        <f t="shared" si="7"/>
        <v>2206</v>
      </c>
      <c r="G57">
        <f t="shared" si="8"/>
        <v>-1.3062400001217611E-2</v>
      </c>
      <c r="I57">
        <f t="shared" si="5"/>
        <v>-1.3062400001217611E-2</v>
      </c>
      <c r="O57">
        <f t="shared" ca="1" si="9"/>
        <v>-5.5305758641962304E-3</v>
      </c>
      <c r="Q57" s="2">
        <f t="shared" si="10"/>
        <v>31477.158000000003</v>
      </c>
      <c r="AA57">
        <v>5</v>
      </c>
      <c r="AC57" t="s">
        <v>29</v>
      </c>
      <c r="AE57" t="s">
        <v>31</v>
      </c>
    </row>
    <row r="58" spans="1:31" x14ac:dyDescent="0.2">
      <c r="A58" s="50" t="s">
        <v>211</v>
      </c>
      <c r="B58" s="52" t="s">
        <v>54</v>
      </c>
      <c r="C58" s="51">
        <v>46535.555999999997</v>
      </c>
      <c r="D58" s="51" t="s">
        <v>84</v>
      </c>
      <c r="E58">
        <f t="shared" si="6"/>
        <v>2257.0017738440788</v>
      </c>
      <c r="F58">
        <f t="shared" si="7"/>
        <v>2257</v>
      </c>
      <c r="G58">
        <f t="shared" si="8"/>
        <v>1.3871999908587895E-3</v>
      </c>
      <c r="I58">
        <f t="shared" si="5"/>
        <v>1.3871999908587895E-3</v>
      </c>
      <c r="O58">
        <f t="shared" ca="1" si="9"/>
        <v>-5.6380500788132341E-3</v>
      </c>
      <c r="Q58" s="2">
        <f t="shared" si="10"/>
        <v>31517.055999999997</v>
      </c>
    </row>
    <row r="59" spans="1:31" x14ac:dyDescent="0.2">
      <c r="A59" t="s">
        <v>50</v>
      </c>
      <c r="C59" s="16">
        <v>46553.548999999999</v>
      </c>
      <c r="D59" s="16"/>
      <c r="E59">
        <f t="shared" si="6"/>
        <v>2280.0098308198717</v>
      </c>
      <c r="F59">
        <f t="shared" si="7"/>
        <v>2280</v>
      </c>
      <c r="G59">
        <f t="shared" si="8"/>
        <v>7.6879999978700653E-3</v>
      </c>
      <c r="I59">
        <f t="shared" si="5"/>
        <v>7.6879999978700653E-3</v>
      </c>
      <c r="O59">
        <f t="shared" ca="1" si="9"/>
        <v>-5.6865188422679618E-3</v>
      </c>
      <c r="Q59" s="2">
        <f t="shared" si="10"/>
        <v>31535.048999999999</v>
      </c>
      <c r="AA59">
        <v>6</v>
      </c>
      <c r="AC59" t="s">
        <v>29</v>
      </c>
      <c r="AE59" t="s">
        <v>31</v>
      </c>
    </row>
    <row r="60" spans="1:31" x14ac:dyDescent="0.2">
      <c r="A60" s="50" t="s">
        <v>218</v>
      </c>
      <c r="B60" s="52" t="s">
        <v>54</v>
      </c>
      <c r="C60" s="51">
        <v>47357.455999999998</v>
      </c>
      <c r="D60" s="51" t="s">
        <v>84</v>
      </c>
      <c r="E60">
        <f t="shared" si="6"/>
        <v>3307.9839351513647</v>
      </c>
      <c r="F60">
        <f t="shared" si="7"/>
        <v>3308</v>
      </c>
      <c r="G60">
        <f t="shared" si="8"/>
        <v>-1.2563200005388353E-2</v>
      </c>
      <c r="I60">
        <f t="shared" si="5"/>
        <v>-1.2563200005388353E-2</v>
      </c>
      <c r="O60">
        <f t="shared" ca="1" si="9"/>
        <v>-7.8528618349401214E-3</v>
      </c>
      <c r="Q60" s="2">
        <f t="shared" si="10"/>
        <v>32338.955999999998</v>
      </c>
    </row>
    <row r="61" spans="1:31" x14ac:dyDescent="0.2">
      <c r="A61" t="s">
        <v>52</v>
      </c>
      <c r="C61" s="16">
        <v>50586.457000000002</v>
      </c>
      <c r="D61" s="16">
        <v>2E-3</v>
      </c>
      <c r="E61">
        <f t="shared" si="6"/>
        <v>7436.9807107242887</v>
      </c>
      <c r="F61">
        <f t="shared" si="7"/>
        <v>7437</v>
      </c>
      <c r="G61">
        <f t="shared" si="8"/>
        <v>-1.5084799997566734E-2</v>
      </c>
      <c r="I61">
        <f>+G61</f>
        <v>-1.5084799997566734E-2</v>
      </c>
      <c r="O61">
        <f t="shared" ca="1" si="9"/>
        <v>-1.6554058543834429E-2</v>
      </c>
      <c r="Q61" s="2">
        <f t="shared" si="10"/>
        <v>35567.957000000002</v>
      </c>
      <c r="AA61">
        <v>20</v>
      </c>
      <c r="AC61" t="s">
        <v>51</v>
      </c>
      <c r="AE61" t="s">
        <v>31</v>
      </c>
    </row>
    <row r="62" spans="1:31" x14ac:dyDescent="0.2">
      <c r="A62" t="s">
        <v>52</v>
      </c>
      <c r="B62" s="5"/>
      <c r="C62" s="16">
        <v>50597.406000000003</v>
      </c>
      <c r="D62" s="16">
        <v>8.0000000000000004E-4</v>
      </c>
      <c r="E62">
        <f t="shared" si="6"/>
        <v>7450.9814452225901</v>
      </c>
      <c r="F62">
        <f t="shared" si="7"/>
        <v>7451</v>
      </c>
      <c r="G62">
        <f t="shared" si="8"/>
        <v>-1.4510399996652268E-2</v>
      </c>
      <c r="I62">
        <f>+G62</f>
        <v>-1.4510399996652268E-2</v>
      </c>
      <c r="O62">
        <f t="shared" ca="1" si="9"/>
        <v>-1.6583561269415566E-2</v>
      </c>
      <c r="Q62" s="2">
        <f t="shared" si="10"/>
        <v>35578.906000000003</v>
      </c>
      <c r="AA62">
        <v>20</v>
      </c>
      <c r="AC62" t="s">
        <v>51</v>
      </c>
      <c r="AE62" t="s">
        <v>31</v>
      </c>
    </row>
    <row r="63" spans="1:31" x14ac:dyDescent="0.2">
      <c r="A63" s="50" t="s">
        <v>225</v>
      </c>
      <c r="B63" s="52" t="s">
        <v>54</v>
      </c>
      <c r="C63" s="51">
        <v>50597.406600000002</v>
      </c>
      <c r="D63" s="51" t="s">
        <v>84</v>
      </c>
      <c r="E63">
        <f t="shared" si="6"/>
        <v>7450.9822124561906</v>
      </c>
      <c r="F63">
        <f t="shared" si="7"/>
        <v>7451</v>
      </c>
      <c r="G63">
        <f t="shared" si="8"/>
        <v>-1.3910399997257628E-2</v>
      </c>
      <c r="I63">
        <f>+G63</f>
        <v>-1.3910399997257628E-2</v>
      </c>
      <c r="O63">
        <f t="shared" ca="1" si="9"/>
        <v>-1.6583561269415566E-2</v>
      </c>
      <c r="Q63" s="2">
        <f t="shared" si="10"/>
        <v>35578.906600000002</v>
      </c>
    </row>
    <row r="64" spans="1:31" x14ac:dyDescent="0.2">
      <c r="A64" t="s">
        <v>55</v>
      </c>
      <c r="B64" s="5" t="s">
        <v>54</v>
      </c>
      <c r="C64" s="16">
        <v>51291.818700000003</v>
      </c>
      <c r="D64" s="16">
        <v>2E-3</v>
      </c>
      <c r="E64">
        <f t="shared" si="6"/>
        <v>8338.9427060636026</v>
      </c>
      <c r="F64">
        <f t="shared" si="7"/>
        <v>8339</v>
      </c>
      <c r="G64">
        <f t="shared" si="8"/>
        <v>-4.4805600002291612E-2</v>
      </c>
      <c r="K64">
        <f>+G64</f>
        <v>-4.4805600002291612E-2</v>
      </c>
      <c r="O64">
        <f t="shared" ca="1" si="9"/>
        <v>-1.8454877006276346E-2</v>
      </c>
      <c r="Q64" s="2">
        <f t="shared" si="10"/>
        <v>36273.318700000003</v>
      </c>
    </row>
    <row r="65" spans="1:17" x14ac:dyDescent="0.2">
      <c r="A65" t="s">
        <v>55</v>
      </c>
      <c r="B65" s="5" t="s">
        <v>56</v>
      </c>
      <c r="C65" s="16">
        <v>51304.7379</v>
      </c>
      <c r="D65" s="16">
        <v>1.6999999999999999E-3</v>
      </c>
      <c r="E65">
        <f t="shared" si="6"/>
        <v>8355.4627799635382</v>
      </c>
      <c r="F65">
        <f t="shared" si="7"/>
        <v>8355.5</v>
      </c>
      <c r="G65">
        <f t="shared" si="8"/>
        <v>-2.9107200003636535E-2</v>
      </c>
      <c r="K65">
        <f>+G65</f>
        <v>-2.9107200003636535E-2</v>
      </c>
      <c r="O65">
        <f t="shared" ca="1" si="9"/>
        <v>-1.8489648075711258E-2</v>
      </c>
      <c r="Q65" s="2">
        <f t="shared" si="10"/>
        <v>36286.2379</v>
      </c>
    </row>
    <row r="66" spans="1:17" ht="12.75" customHeight="1" x14ac:dyDescent="0.2">
      <c r="A66" t="s">
        <v>53</v>
      </c>
      <c r="B66" s="10" t="s">
        <v>54</v>
      </c>
      <c r="C66" s="17">
        <v>51401.335400000004</v>
      </c>
      <c r="D66" s="17">
        <v>8.2000000000000007E-3</v>
      </c>
      <c r="E66">
        <f t="shared" si="6"/>
        <v>8478.9841929418617</v>
      </c>
      <c r="F66">
        <f t="shared" si="7"/>
        <v>8479</v>
      </c>
      <c r="G66">
        <f t="shared" si="8"/>
        <v>-1.2361599998257589E-2</v>
      </c>
      <c r="K66">
        <f>+G66</f>
        <v>-1.2361599998257589E-2</v>
      </c>
      <c r="O66">
        <f t="shared" ca="1" si="9"/>
        <v>-1.8749904262087728E-2</v>
      </c>
      <c r="Q66" s="2">
        <f t="shared" si="10"/>
        <v>36382.835400000004</v>
      </c>
    </row>
    <row r="67" spans="1:17" x14ac:dyDescent="0.2">
      <c r="A67" t="s">
        <v>53</v>
      </c>
      <c r="B67" s="10" t="s">
        <v>54</v>
      </c>
      <c r="C67" s="17">
        <v>51404.4611</v>
      </c>
      <c r="D67" s="17">
        <v>4.1000000000000003E-3</v>
      </c>
      <c r="E67">
        <f t="shared" si="6"/>
        <v>8482.9810963870423</v>
      </c>
      <c r="F67">
        <f t="shared" si="7"/>
        <v>8483</v>
      </c>
      <c r="G67">
        <f t="shared" si="8"/>
        <v>-1.4783200000238139E-2</v>
      </c>
      <c r="K67">
        <f>+G67</f>
        <v>-1.4783200000238139E-2</v>
      </c>
      <c r="O67">
        <f t="shared" ca="1" si="9"/>
        <v>-1.8758333612253767E-2</v>
      </c>
      <c r="Q67" s="2">
        <f t="shared" si="10"/>
        <v>36385.9611</v>
      </c>
    </row>
    <row r="68" spans="1:17" x14ac:dyDescent="0.2">
      <c r="A68" s="35" t="s">
        <v>73</v>
      </c>
      <c r="B68" s="36" t="s">
        <v>54</v>
      </c>
      <c r="C68" s="35">
        <v>51684.424169999998</v>
      </c>
      <c r="D68" s="35">
        <v>2.8999999999999998E-3</v>
      </c>
      <c r="E68">
        <f t="shared" si="6"/>
        <v>8840.9762203617611</v>
      </c>
      <c r="F68">
        <f t="shared" si="7"/>
        <v>8841</v>
      </c>
      <c r="G68">
        <f t="shared" si="8"/>
        <v>-1.8596400004753377E-2</v>
      </c>
      <c r="K68">
        <f>+G68</f>
        <v>-1.8596400004753377E-2</v>
      </c>
      <c r="O68">
        <f t="shared" ca="1" si="9"/>
        <v>-1.9512760452114305E-2</v>
      </c>
      <c r="Q68" s="2">
        <f t="shared" si="10"/>
        <v>36665.924169999998</v>
      </c>
    </row>
    <row r="69" spans="1:17" x14ac:dyDescent="0.2">
      <c r="A69" s="50" t="s">
        <v>255</v>
      </c>
      <c r="B69" s="52" t="s">
        <v>54</v>
      </c>
      <c r="C69" s="51">
        <v>52082.476999999999</v>
      </c>
      <c r="D69" s="51" t="s">
        <v>84</v>
      </c>
      <c r="E69">
        <f t="shared" si="6"/>
        <v>9349.9753973758525</v>
      </c>
      <c r="F69">
        <f t="shared" si="7"/>
        <v>9350</v>
      </c>
      <c r="G69">
        <f t="shared" si="8"/>
        <v>-1.9240000001445878E-2</v>
      </c>
      <c r="I69">
        <f>+G69</f>
        <v>-1.9240000001445878E-2</v>
      </c>
      <c r="O69">
        <f t="shared" ca="1" si="9"/>
        <v>-2.0585395260742836E-2</v>
      </c>
      <c r="Q69" s="2">
        <f t="shared" si="10"/>
        <v>37063.976999999999</v>
      </c>
    </row>
    <row r="70" spans="1:17" x14ac:dyDescent="0.2">
      <c r="A70" s="12" t="s">
        <v>59</v>
      </c>
      <c r="B70" s="10" t="s">
        <v>54</v>
      </c>
      <c r="C70" s="17">
        <v>53476.8344</v>
      </c>
      <c r="D70" s="17">
        <v>2.9999999999999997E-4</v>
      </c>
      <c r="E70">
        <f t="shared" si="6"/>
        <v>11132.971812860469</v>
      </c>
      <c r="F70">
        <f t="shared" si="7"/>
        <v>11133</v>
      </c>
      <c r="G70">
        <f t="shared" si="8"/>
        <v>-2.2043199998734053E-2</v>
      </c>
      <c r="K70">
        <f>+G70</f>
        <v>-2.2043199998734053E-2</v>
      </c>
      <c r="O70">
        <f t="shared" ca="1" si="9"/>
        <v>-2.4342778097254957E-2</v>
      </c>
      <c r="Q70" s="2">
        <f t="shared" si="10"/>
        <v>38458.3344</v>
      </c>
    </row>
    <row r="71" spans="1:17" x14ac:dyDescent="0.2">
      <c r="A71" s="35" t="s">
        <v>72</v>
      </c>
      <c r="B71" s="36" t="s">
        <v>54</v>
      </c>
      <c r="C71" s="35">
        <v>53517.487999999998</v>
      </c>
      <c r="D71" s="35">
        <v>6.0000000000000001E-3</v>
      </c>
      <c r="E71">
        <f t="shared" si="6"/>
        <v>11184.956492739917</v>
      </c>
      <c r="F71">
        <f t="shared" si="7"/>
        <v>11185</v>
      </c>
      <c r="G71">
        <f t="shared" si="8"/>
        <v>-3.4024000007775612E-2</v>
      </c>
      <c r="I71">
        <f>+G71</f>
        <v>-3.4024000007775612E-2</v>
      </c>
      <c r="O71">
        <f t="shared" ca="1" si="9"/>
        <v>-2.4452359649413471E-2</v>
      </c>
      <c r="Q71" s="2">
        <f t="shared" si="10"/>
        <v>38498.987999999998</v>
      </c>
    </row>
    <row r="72" spans="1:17" x14ac:dyDescent="0.2">
      <c r="A72" s="35" t="s">
        <v>72</v>
      </c>
      <c r="B72" s="36" t="s">
        <v>54</v>
      </c>
      <c r="C72" s="35">
        <v>53578.497000000003</v>
      </c>
      <c r="D72" s="35">
        <v>3.0000000000000001E-3</v>
      </c>
      <c r="E72">
        <f t="shared" si="6"/>
        <v>11262.970084027425</v>
      </c>
      <c r="F72">
        <f t="shared" si="7"/>
        <v>11263</v>
      </c>
      <c r="G72">
        <f t="shared" si="8"/>
        <v>-2.3395199998049065E-2</v>
      </c>
      <c r="I72">
        <f>+G72</f>
        <v>-2.3395199998049065E-2</v>
      </c>
      <c r="O72">
        <f t="shared" ca="1" si="9"/>
        <v>-2.4616731977651241E-2</v>
      </c>
      <c r="Q72" s="2">
        <f t="shared" si="10"/>
        <v>38559.997000000003</v>
      </c>
    </row>
    <row r="73" spans="1:17" x14ac:dyDescent="0.2">
      <c r="A73" s="13" t="s">
        <v>61</v>
      </c>
      <c r="B73" s="14"/>
      <c r="C73" s="16">
        <v>53636.364000000001</v>
      </c>
      <c r="D73" s="16">
        <v>1E-3</v>
      </c>
      <c r="E73">
        <f t="shared" si="6"/>
        <v>11336.965928690239</v>
      </c>
      <c r="F73">
        <f t="shared" si="7"/>
        <v>11337</v>
      </c>
      <c r="G73">
        <f t="shared" si="8"/>
        <v>-2.6644800003850833E-2</v>
      </c>
      <c r="J73">
        <f>+G73</f>
        <v>-2.6644800003850833E-2</v>
      </c>
      <c r="O73">
        <f t="shared" ca="1" si="9"/>
        <v>-2.4772674955722974E-2</v>
      </c>
      <c r="Q73" s="2">
        <f t="shared" si="10"/>
        <v>38617.864000000001</v>
      </c>
    </row>
    <row r="74" spans="1:17" x14ac:dyDescent="0.2">
      <c r="A74" s="13" t="s">
        <v>61</v>
      </c>
      <c r="B74" s="14"/>
      <c r="C74" s="16">
        <v>53818.580399999999</v>
      </c>
      <c r="D74" s="16">
        <v>2.9999999999999997E-4</v>
      </c>
      <c r="E74">
        <f t="shared" si="6"/>
        <v>11569.970169957583</v>
      </c>
      <c r="F74">
        <f t="shared" si="7"/>
        <v>11570</v>
      </c>
      <c r="G74">
        <f t="shared" si="8"/>
        <v>-2.3328000002948102E-2</v>
      </c>
      <c r="J74">
        <f>+G74</f>
        <v>-2.3328000002948102E-2</v>
      </c>
      <c r="O74">
        <f t="shared" ca="1" si="9"/>
        <v>-2.5263684602894777E-2</v>
      </c>
      <c r="Q74" s="2">
        <f t="shared" si="10"/>
        <v>38800.080399999999</v>
      </c>
    </row>
    <row r="75" spans="1:17" x14ac:dyDescent="0.2">
      <c r="A75" s="13" t="s">
        <v>61</v>
      </c>
      <c r="B75" s="14"/>
      <c r="C75" s="16">
        <v>53894.436099999999</v>
      </c>
      <c r="D75" s="16">
        <v>1.2999999999999999E-3</v>
      </c>
      <c r="E75">
        <f t="shared" si="6"/>
        <v>11666.968573088714</v>
      </c>
      <c r="F75">
        <f t="shared" si="7"/>
        <v>11667</v>
      </c>
      <c r="G75">
        <f t="shared" si="8"/>
        <v>-2.457680000225082E-2</v>
      </c>
      <c r="J75">
        <f>+G75</f>
        <v>-2.457680000225082E-2</v>
      </c>
      <c r="O75">
        <f t="shared" ca="1" si="9"/>
        <v>-2.5468096344421234E-2</v>
      </c>
      <c r="Q75" s="2">
        <f t="shared" si="10"/>
        <v>38875.936099999999</v>
      </c>
    </row>
    <row r="76" spans="1:17" x14ac:dyDescent="0.2">
      <c r="A76" s="29" t="s">
        <v>67</v>
      </c>
      <c r="B76" s="10"/>
      <c r="C76" s="15">
        <v>54220.542200000004</v>
      </c>
      <c r="D76" s="15">
        <v>3.8E-3</v>
      </c>
      <c r="E76">
        <f t="shared" si="6"/>
        <v>12083.967835521486</v>
      </c>
      <c r="F76">
        <f t="shared" si="7"/>
        <v>12084</v>
      </c>
      <c r="G76">
        <f t="shared" si="8"/>
        <v>-2.5153599999612197E-2</v>
      </c>
      <c r="J76">
        <f>+G76</f>
        <v>-2.5153599999612197E-2</v>
      </c>
      <c r="O76">
        <f t="shared" ca="1" si="9"/>
        <v>-2.6346856099230858E-2</v>
      </c>
      <c r="Q76" s="2">
        <f t="shared" si="10"/>
        <v>39202.042200000004</v>
      </c>
    </row>
    <row r="77" spans="1:17" x14ac:dyDescent="0.2">
      <c r="A77" s="50" t="s">
        <v>292</v>
      </c>
      <c r="B77" s="52" t="s">
        <v>54</v>
      </c>
      <c r="C77" s="51">
        <v>54368.344899999996</v>
      </c>
      <c r="D77" s="51" t="s">
        <v>84</v>
      </c>
      <c r="E77">
        <f t="shared" si="6"/>
        <v>12272.966498489053</v>
      </c>
      <c r="F77">
        <f t="shared" si="7"/>
        <v>12273</v>
      </c>
      <c r="G77">
        <f t="shared" si="8"/>
        <v>-2.6199200008704793E-2</v>
      </c>
      <c r="I77">
        <f>+G77</f>
        <v>-2.6199200008704793E-2</v>
      </c>
      <c r="O77">
        <f t="shared" ca="1" si="9"/>
        <v>-2.6745142894576225E-2</v>
      </c>
      <c r="Q77" s="2">
        <f t="shared" si="10"/>
        <v>39349.844899999996</v>
      </c>
    </row>
    <row r="78" spans="1:17" x14ac:dyDescent="0.2">
      <c r="A78" s="35" t="s">
        <v>71</v>
      </c>
      <c r="B78" s="36" t="s">
        <v>54</v>
      </c>
      <c r="C78" s="35">
        <v>55648.524599999997</v>
      </c>
      <c r="D78" s="35">
        <v>2.9999999999999997E-4</v>
      </c>
      <c r="E78">
        <f t="shared" si="6"/>
        <v>13909.96130073715</v>
      </c>
      <c r="F78">
        <f t="shared" si="7"/>
        <v>13910</v>
      </c>
      <c r="G78">
        <f t="shared" si="8"/>
        <v>-3.0264000008173753E-2</v>
      </c>
      <c r="J78">
        <f>+G78</f>
        <v>-3.0264000008173753E-2</v>
      </c>
      <c r="O78">
        <f t="shared" ca="1" si="9"/>
        <v>-3.0194854450027904E-2</v>
      </c>
      <c r="Q78" s="2">
        <f t="shared" si="10"/>
        <v>40630.024599999997</v>
      </c>
    </row>
    <row r="79" spans="1:17" x14ac:dyDescent="0.2">
      <c r="A79" s="35" t="s">
        <v>71</v>
      </c>
      <c r="B79" s="36" t="s">
        <v>54</v>
      </c>
      <c r="C79" s="35">
        <v>55670.423499999997</v>
      </c>
      <c r="D79" s="35">
        <v>1.9E-3</v>
      </c>
      <c r="E79">
        <f t="shared" si="6"/>
        <v>13937.963920584154</v>
      </c>
      <c r="F79">
        <f t="shared" si="7"/>
        <v>13938</v>
      </c>
      <c r="G79">
        <f t="shared" si="8"/>
        <v>-2.8215200007252861E-2</v>
      </c>
      <c r="J79">
        <f>+G79</f>
        <v>-2.8215200007252861E-2</v>
      </c>
      <c r="O79">
        <f t="shared" ca="1" si="9"/>
        <v>-3.0253859901190179E-2</v>
      </c>
      <c r="Q79" s="2">
        <f t="shared" si="10"/>
        <v>40651.923499999997</v>
      </c>
    </row>
    <row r="80" spans="1:17" x14ac:dyDescent="0.2">
      <c r="A80" s="35" t="s">
        <v>71</v>
      </c>
      <c r="B80" s="36" t="s">
        <v>54</v>
      </c>
      <c r="C80" s="35">
        <v>55673.550499999998</v>
      </c>
      <c r="D80" s="35">
        <v>1.6000000000000001E-3</v>
      </c>
      <c r="E80">
        <f t="shared" si="6"/>
        <v>13941.96248636881</v>
      </c>
      <c r="F80">
        <f t="shared" si="7"/>
        <v>13942</v>
      </c>
      <c r="G80">
        <f t="shared" si="8"/>
        <v>-2.9336800005694386E-2</v>
      </c>
      <c r="J80">
        <f>+G80</f>
        <v>-2.9336800005694386E-2</v>
      </c>
      <c r="O80">
        <f t="shared" ca="1" si="9"/>
        <v>-3.0262289251356218E-2</v>
      </c>
      <c r="Q80" s="2">
        <f t="shared" si="10"/>
        <v>40655.050499999998</v>
      </c>
    </row>
    <row r="81" spans="1:17" x14ac:dyDescent="0.2">
      <c r="A81" s="54" t="s">
        <v>0</v>
      </c>
      <c r="B81" s="55" t="s">
        <v>54</v>
      </c>
      <c r="C81" s="56">
        <v>57516.397700000001</v>
      </c>
      <c r="D81" s="56">
        <v>2.7000000000000001E-3</v>
      </c>
      <c r="E81">
        <f t="shared" si="6"/>
        <v>16298.452975741095</v>
      </c>
      <c r="F81">
        <f t="shared" si="7"/>
        <v>16298.5</v>
      </c>
      <c r="G81">
        <f t="shared" si="8"/>
        <v>-3.6774400003196206E-2</v>
      </c>
      <c r="K81">
        <f>+G81</f>
        <v>-3.6774400003196206E-2</v>
      </c>
      <c r="O81">
        <f t="shared" ca="1" si="9"/>
        <v>-3.5228230167924257E-2</v>
      </c>
      <c r="Q81" s="2">
        <f t="shared" si="10"/>
        <v>42497.897700000001</v>
      </c>
    </row>
    <row r="82" spans="1:17" x14ac:dyDescent="0.2">
      <c r="C82" s="16"/>
      <c r="D82" s="16"/>
    </row>
    <row r="83" spans="1:17" x14ac:dyDescent="0.2">
      <c r="C83" s="16"/>
      <c r="D83" s="16"/>
    </row>
    <row r="84" spans="1:17" x14ac:dyDescent="0.2">
      <c r="C84" s="16"/>
      <c r="D84" s="16"/>
    </row>
    <row r="85" spans="1:17" x14ac:dyDescent="0.2">
      <c r="C85" s="16"/>
      <c r="D85" s="16"/>
    </row>
    <row r="86" spans="1:17" x14ac:dyDescent="0.2">
      <c r="C86" s="16"/>
      <c r="D86" s="16"/>
    </row>
    <row r="87" spans="1:17" x14ac:dyDescent="0.2">
      <c r="C87" s="16"/>
      <c r="D87" s="16"/>
    </row>
    <row r="88" spans="1:17" x14ac:dyDescent="0.2">
      <c r="C88" s="16"/>
      <c r="D88" s="16"/>
    </row>
    <row r="89" spans="1:17" x14ac:dyDescent="0.2">
      <c r="C89" s="16"/>
      <c r="D89" s="16"/>
    </row>
    <row r="90" spans="1:17" x14ac:dyDescent="0.2">
      <c r="C90" s="16"/>
      <c r="D90" s="16"/>
    </row>
    <row r="91" spans="1:17" x14ac:dyDescent="0.2">
      <c r="C91" s="16"/>
      <c r="D91" s="16"/>
    </row>
    <row r="92" spans="1:17" x14ac:dyDescent="0.2">
      <c r="C92" s="16"/>
      <c r="D92" s="16"/>
    </row>
    <row r="93" spans="1:17" x14ac:dyDescent="0.2">
      <c r="C93" s="16"/>
      <c r="D93" s="16"/>
    </row>
    <row r="94" spans="1:17" x14ac:dyDescent="0.2">
      <c r="C94" s="16"/>
      <c r="D94" s="16"/>
    </row>
    <row r="95" spans="1:17" x14ac:dyDescent="0.2">
      <c r="C95" s="16"/>
      <c r="D95" s="16"/>
    </row>
    <row r="96" spans="1:17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</sheetData>
  <phoneticPr fontId="8" type="noConversion"/>
  <hyperlinks>
    <hyperlink ref="H302" r:id="rId1" display="http://vsolj.cetus-net.org/bulletin.html"/>
    <hyperlink ref="H295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opLeftCell="A34" workbookViewId="0">
      <selection activeCell="A54" sqref="A54:D68"/>
    </sheetView>
  </sheetViews>
  <sheetFormatPr defaultRowHeight="12.75" x14ac:dyDescent="0.2"/>
  <cols>
    <col min="1" max="1" width="19.7109375" style="15" customWidth="1"/>
    <col min="2" max="2" width="4.42578125" style="13" customWidth="1"/>
    <col min="3" max="3" width="12.7109375" style="1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7" t="s">
        <v>74</v>
      </c>
      <c r="I1" s="38" t="s">
        <v>75</v>
      </c>
      <c r="J1" s="39" t="s">
        <v>76</v>
      </c>
    </row>
    <row r="2" spans="1:16" x14ac:dyDescent="0.2">
      <c r="I2" s="40" t="s">
        <v>77</v>
      </c>
      <c r="J2" s="41" t="s">
        <v>78</v>
      </c>
    </row>
    <row r="3" spans="1:16" x14ac:dyDescent="0.2">
      <c r="A3" s="42" t="s">
        <v>79</v>
      </c>
      <c r="I3" s="40" t="s">
        <v>80</v>
      </c>
      <c r="J3" s="41" t="s">
        <v>81</v>
      </c>
    </row>
    <row r="4" spans="1:16" x14ac:dyDescent="0.2">
      <c r="I4" s="40" t="s">
        <v>82</v>
      </c>
      <c r="J4" s="41" t="s">
        <v>81</v>
      </c>
    </row>
    <row r="5" spans="1:16" ht="13.5" thickBot="1" x14ac:dyDescent="0.25">
      <c r="I5" s="43" t="s">
        <v>83</v>
      </c>
      <c r="J5" s="44" t="s">
        <v>84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 BBS 43 </v>
      </c>
      <c r="B11" s="5" t="str">
        <f t="shared" ref="B11:B42" si="1">IF(H11=INT(H11),"I","II")</f>
        <v>I</v>
      </c>
      <c r="C11" s="15">
        <f t="shared" ref="C11:C42" si="2">1*G11</f>
        <v>43977.523000000001</v>
      </c>
      <c r="D11" s="13" t="str">
        <f t="shared" ref="D11:D42" si="3">VLOOKUP(F11,I$1:J$5,2,FALSE)</f>
        <v>vis</v>
      </c>
      <c r="E11" s="45">
        <f>VLOOKUP(C11,Active!C$21:E$973,3,FALSE)</f>
        <v>-1014.013010235921</v>
      </c>
      <c r="F11" s="5" t="s">
        <v>83</v>
      </c>
      <c r="G11" s="13" t="str">
        <f t="shared" ref="G11:G42" si="4">MID(I11,3,LEN(I11)-3)</f>
        <v>43977.523</v>
      </c>
      <c r="H11" s="15">
        <f t="shared" ref="H11:H42" si="5">1*K11</f>
        <v>-1014</v>
      </c>
      <c r="I11" s="46" t="s">
        <v>119</v>
      </c>
      <c r="J11" s="47" t="s">
        <v>120</v>
      </c>
      <c r="K11" s="46">
        <v>-1014</v>
      </c>
      <c r="L11" s="46" t="s">
        <v>121</v>
      </c>
      <c r="M11" s="47" t="s">
        <v>122</v>
      </c>
      <c r="N11" s="47"/>
      <c r="O11" s="48" t="s">
        <v>123</v>
      </c>
      <c r="P11" s="48" t="s">
        <v>124</v>
      </c>
    </row>
    <row r="12" spans="1:16" ht="12.75" customHeight="1" thickBot="1" x14ac:dyDescent="0.25">
      <c r="A12" s="15" t="str">
        <f t="shared" si="0"/>
        <v> BBS 43 </v>
      </c>
      <c r="B12" s="5" t="str">
        <f t="shared" si="1"/>
        <v>I</v>
      </c>
      <c r="C12" s="15">
        <f t="shared" si="2"/>
        <v>43988.476999999999</v>
      </c>
      <c r="D12" s="13" t="str">
        <f t="shared" si="3"/>
        <v>vis</v>
      </c>
      <c r="E12" s="45">
        <f>VLOOKUP(C12,Active!C$21:E$973,3,FALSE)</f>
        <v>-1000.0058821242799</v>
      </c>
      <c r="F12" s="5" t="s">
        <v>83</v>
      </c>
      <c r="G12" s="13" t="str">
        <f t="shared" si="4"/>
        <v>43988.477</v>
      </c>
      <c r="H12" s="15">
        <f t="shared" si="5"/>
        <v>-1000</v>
      </c>
      <c r="I12" s="46" t="s">
        <v>125</v>
      </c>
      <c r="J12" s="47" t="s">
        <v>126</v>
      </c>
      <c r="K12" s="46">
        <v>-1000</v>
      </c>
      <c r="L12" s="46" t="s">
        <v>127</v>
      </c>
      <c r="M12" s="47" t="s">
        <v>122</v>
      </c>
      <c r="N12" s="47"/>
      <c r="O12" s="48" t="s">
        <v>123</v>
      </c>
      <c r="P12" s="48" t="s">
        <v>124</v>
      </c>
    </row>
    <row r="13" spans="1:16" ht="12.75" customHeight="1" thickBot="1" x14ac:dyDescent="0.25">
      <c r="A13" s="15" t="str">
        <f t="shared" si="0"/>
        <v> BBS 43 </v>
      </c>
      <c r="B13" s="5" t="str">
        <f t="shared" si="1"/>
        <v>I</v>
      </c>
      <c r="C13" s="15">
        <f t="shared" si="2"/>
        <v>44006.472000000002</v>
      </c>
      <c r="D13" s="13" t="str">
        <f t="shared" si="3"/>
        <v>vis</v>
      </c>
      <c r="E13" s="45">
        <f>VLOOKUP(C13,Active!C$21:E$973,3,FALSE)</f>
        <v>-976.99526770314924</v>
      </c>
      <c r="F13" s="5" t="s">
        <v>83</v>
      </c>
      <c r="G13" s="13" t="str">
        <f t="shared" si="4"/>
        <v>44006.472</v>
      </c>
      <c r="H13" s="15">
        <f t="shared" si="5"/>
        <v>-977</v>
      </c>
      <c r="I13" s="46" t="s">
        <v>128</v>
      </c>
      <c r="J13" s="47" t="s">
        <v>129</v>
      </c>
      <c r="K13" s="46">
        <v>-977</v>
      </c>
      <c r="L13" s="46" t="s">
        <v>130</v>
      </c>
      <c r="M13" s="47" t="s">
        <v>122</v>
      </c>
      <c r="N13" s="47"/>
      <c r="O13" s="48" t="s">
        <v>123</v>
      </c>
      <c r="P13" s="48" t="s">
        <v>124</v>
      </c>
    </row>
    <row r="14" spans="1:16" ht="12.75" customHeight="1" thickBot="1" x14ac:dyDescent="0.25">
      <c r="A14" s="15" t="str">
        <f t="shared" si="0"/>
        <v> BBS 44 </v>
      </c>
      <c r="B14" s="5" t="str">
        <f t="shared" si="1"/>
        <v>I</v>
      </c>
      <c r="C14" s="15">
        <f t="shared" si="2"/>
        <v>44114.394</v>
      </c>
      <c r="D14" s="13" t="str">
        <f t="shared" si="3"/>
        <v>vis</v>
      </c>
      <c r="E14" s="45">
        <f>VLOOKUP(C14,Active!C$21:E$973,3,FALSE)</f>
        <v>-838.99295986447862</v>
      </c>
      <c r="F14" s="5" t="s">
        <v>83</v>
      </c>
      <c r="G14" s="13" t="str">
        <f t="shared" si="4"/>
        <v>44114.394</v>
      </c>
      <c r="H14" s="15">
        <f t="shared" si="5"/>
        <v>-839</v>
      </c>
      <c r="I14" s="46" t="s">
        <v>131</v>
      </c>
      <c r="J14" s="47" t="s">
        <v>132</v>
      </c>
      <c r="K14" s="46">
        <v>-839</v>
      </c>
      <c r="L14" s="46" t="s">
        <v>133</v>
      </c>
      <c r="M14" s="47" t="s">
        <v>122</v>
      </c>
      <c r="N14" s="47"/>
      <c r="O14" s="48" t="s">
        <v>123</v>
      </c>
      <c r="P14" s="48" t="s">
        <v>134</v>
      </c>
    </row>
    <row r="15" spans="1:16" ht="12.75" customHeight="1" thickBot="1" x14ac:dyDescent="0.25">
      <c r="A15" s="15" t="str">
        <f t="shared" si="0"/>
        <v> BBS 47 </v>
      </c>
      <c r="B15" s="5" t="str">
        <f t="shared" si="1"/>
        <v>I</v>
      </c>
      <c r="C15" s="15">
        <f t="shared" si="2"/>
        <v>44343.533000000003</v>
      </c>
      <c r="D15" s="13" t="str">
        <f t="shared" si="3"/>
        <v>vis</v>
      </c>
      <c r="E15" s="45">
        <f>VLOOKUP(C15,Active!C$21:E$973,3,FALSE)</f>
        <v>-545.98772630833707</v>
      </c>
      <c r="F15" s="5" t="s">
        <v>83</v>
      </c>
      <c r="G15" s="13" t="str">
        <f t="shared" si="4"/>
        <v>44343.533</v>
      </c>
      <c r="H15" s="15">
        <f t="shared" si="5"/>
        <v>-546</v>
      </c>
      <c r="I15" s="46" t="s">
        <v>135</v>
      </c>
      <c r="J15" s="47" t="s">
        <v>136</v>
      </c>
      <c r="K15" s="46">
        <v>-546</v>
      </c>
      <c r="L15" s="46" t="s">
        <v>118</v>
      </c>
      <c r="M15" s="47" t="s">
        <v>122</v>
      </c>
      <c r="N15" s="47"/>
      <c r="O15" s="48" t="s">
        <v>123</v>
      </c>
      <c r="P15" s="48" t="s">
        <v>137</v>
      </c>
    </row>
    <row r="16" spans="1:16" ht="12.75" customHeight="1" thickBot="1" x14ac:dyDescent="0.25">
      <c r="A16" s="15" t="str">
        <f t="shared" si="0"/>
        <v> BBS 48 </v>
      </c>
      <c r="B16" s="5" t="str">
        <f t="shared" si="1"/>
        <v>I</v>
      </c>
      <c r="C16" s="15">
        <f t="shared" si="2"/>
        <v>44372.453999999998</v>
      </c>
      <c r="D16" s="13" t="str">
        <f t="shared" si="3"/>
        <v>vis</v>
      </c>
      <c r="E16" s="45">
        <f>VLOOKUP(C16,Active!C$21:E$973,3,FALSE)</f>
        <v>-509.00578801029286</v>
      </c>
      <c r="F16" s="5" t="s">
        <v>83</v>
      </c>
      <c r="G16" s="13" t="str">
        <f t="shared" si="4"/>
        <v>44372.454</v>
      </c>
      <c r="H16" s="15">
        <f t="shared" si="5"/>
        <v>-509</v>
      </c>
      <c r="I16" s="46" t="s">
        <v>138</v>
      </c>
      <c r="J16" s="47" t="s">
        <v>139</v>
      </c>
      <c r="K16" s="46">
        <v>-509</v>
      </c>
      <c r="L16" s="46" t="s">
        <v>127</v>
      </c>
      <c r="M16" s="47" t="s">
        <v>122</v>
      </c>
      <c r="N16" s="47"/>
      <c r="O16" s="48" t="s">
        <v>123</v>
      </c>
      <c r="P16" s="48" t="s">
        <v>140</v>
      </c>
    </row>
    <row r="17" spans="1:16" ht="12.75" customHeight="1" thickBot="1" x14ac:dyDescent="0.25">
      <c r="A17" s="15" t="str">
        <f t="shared" si="0"/>
        <v> BBS 49 </v>
      </c>
      <c r="B17" s="5" t="str">
        <f t="shared" si="1"/>
        <v>I</v>
      </c>
      <c r="C17" s="15">
        <f t="shared" si="2"/>
        <v>44458.487999999998</v>
      </c>
      <c r="D17" s="13" t="str">
        <f t="shared" si="3"/>
        <v>vis</v>
      </c>
      <c r="E17" s="45">
        <f>VLOOKUP(C17,Active!C$21:E$973,3,FALSE)</f>
        <v>-398.99216194153689</v>
      </c>
      <c r="F17" s="5" t="s">
        <v>83</v>
      </c>
      <c r="G17" s="13" t="str">
        <f t="shared" si="4"/>
        <v>44458.488</v>
      </c>
      <c r="H17" s="15">
        <f t="shared" si="5"/>
        <v>-399</v>
      </c>
      <c r="I17" s="46" t="s">
        <v>141</v>
      </c>
      <c r="J17" s="47" t="s">
        <v>142</v>
      </c>
      <c r="K17" s="46">
        <v>-399</v>
      </c>
      <c r="L17" s="46" t="s">
        <v>133</v>
      </c>
      <c r="M17" s="47" t="s">
        <v>122</v>
      </c>
      <c r="N17" s="47"/>
      <c r="O17" s="48" t="s">
        <v>123</v>
      </c>
      <c r="P17" s="48" t="s">
        <v>143</v>
      </c>
    </row>
    <row r="18" spans="1:16" ht="12.75" customHeight="1" thickBot="1" x14ac:dyDescent="0.25">
      <c r="A18" s="15" t="str">
        <f t="shared" si="0"/>
        <v> BBS 50 </v>
      </c>
      <c r="B18" s="5" t="str">
        <f t="shared" si="1"/>
        <v>I</v>
      </c>
      <c r="C18" s="15">
        <f t="shared" si="2"/>
        <v>44491.332999999999</v>
      </c>
      <c r="D18" s="13" t="str">
        <f t="shared" si="3"/>
        <v>vis</v>
      </c>
      <c r="E18" s="45">
        <f>VLOOKUP(C18,Active!C$21:E$973,3,FALSE)</f>
        <v>-356.99251589197007</v>
      </c>
      <c r="F18" s="5" t="s">
        <v>83</v>
      </c>
      <c r="G18" s="13" t="str">
        <f t="shared" si="4"/>
        <v>44491.333</v>
      </c>
      <c r="H18" s="15">
        <f t="shared" si="5"/>
        <v>-357</v>
      </c>
      <c r="I18" s="46" t="s">
        <v>144</v>
      </c>
      <c r="J18" s="47" t="s">
        <v>145</v>
      </c>
      <c r="K18" s="46">
        <v>-357</v>
      </c>
      <c r="L18" s="46" t="s">
        <v>133</v>
      </c>
      <c r="M18" s="47" t="s">
        <v>122</v>
      </c>
      <c r="N18" s="47"/>
      <c r="O18" s="48" t="s">
        <v>123</v>
      </c>
      <c r="P18" s="48" t="s">
        <v>146</v>
      </c>
    </row>
    <row r="19" spans="1:16" ht="12.75" customHeight="1" thickBot="1" x14ac:dyDescent="0.25">
      <c r="A19" s="15" t="str">
        <f t="shared" si="0"/>
        <v> BBS 50 </v>
      </c>
      <c r="B19" s="5" t="str">
        <f t="shared" si="1"/>
        <v>I</v>
      </c>
      <c r="C19" s="15">
        <f t="shared" si="2"/>
        <v>44498.379000000001</v>
      </c>
      <c r="D19" s="13" t="str">
        <f t="shared" si="3"/>
        <v>vis</v>
      </c>
      <c r="E19" s="45">
        <f>VLOOKUP(C19,Active!C$21:E$973,3,FALSE)</f>
        <v>-347.98263596914086</v>
      </c>
      <c r="F19" s="5" t="s">
        <v>83</v>
      </c>
      <c r="G19" s="13" t="str">
        <f t="shared" si="4"/>
        <v>44498.379</v>
      </c>
      <c r="H19" s="15">
        <f t="shared" si="5"/>
        <v>-348</v>
      </c>
      <c r="I19" s="46" t="s">
        <v>147</v>
      </c>
      <c r="J19" s="47" t="s">
        <v>148</v>
      </c>
      <c r="K19" s="46">
        <v>-348</v>
      </c>
      <c r="L19" s="46" t="s">
        <v>149</v>
      </c>
      <c r="M19" s="47" t="s">
        <v>122</v>
      </c>
      <c r="N19" s="47"/>
      <c r="O19" s="48" t="s">
        <v>123</v>
      </c>
      <c r="P19" s="48" t="s">
        <v>146</v>
      </c>
    </row>
    <row r="20" spans="1:16" ht="12.75" customHeight="1" thickBot="1" x14ac:dyDescent="0.25">
      <c r="A20" s="15" t="str">
        <f t="shared" si="0"/>
        <v> BBS 53 </v>
      </c>
      <c r="B20" s="5" t="str">
        <f t="shared" si="1"/>
        <v>I</v>
      </c>
      <c r="C20" s="15">
        <f t="shared" si="2"/>
        <v>44644.62</v>
      </c>
      <c r="D20" s="13" t="str">
        <f t="shared" si="3"/>
        <v>vis</v>
      </c>
      <c r="E20" s="45">
        <f>VLOOKUP(C20,Active!C$21:E$973,3,FALSE)</f>
        <v>-160.98095419308484</v>
      </c>
      <c r="F20" s="5" t="s">
        <v>83</v>
      </c>
      <c r="G20" s="13" t="str">
        <f t="shared" si="4"/>
        <v>44644.620</v>
      </c>
      <c r="H20" s="15">
        <f t="shared" si="5"/>
        <v>-161</v>
      </c>
      <c r="I20" s="46" t="s">
        <v>150</v>
      </c>
      <c r="J20" s="47" t="s">
        <v>151</v>
      </c>
      <c r="K20" s="46">
        <v>-161</v>
      </c>
      <c r="L20" s="46" t="s">
        <v>152</v>
      </c>
      <c r="M20" s="47" t="s">
        <v>122</v>
      </c>
      <c r="N20" s="47"/>
      <c r="O20" s="48" t="s">
        <v>123</v>
      </c>
      <c r="P20" s="48" t="s">
        <v>153</v>
      </c>
    </row>
    <row r="21" spans="1:16" ht="12.75" customHeight="1" thickBot="1" x14ac:dyDescent="0.25">
      <c r="A21" s="15" t="str">
        <f t="shared" si="0"/>
        <v> BBS 53 </v>
      </c>
      <c r="B21" s="5" t="str">
        <f t="shared" si="1"/>
        <v>I</v>
      </c>
      <c r="C21" s="15">
        <f t="shared" si="2"/>
        <v>44691.534</v>
      </c>
      <c r="D21" s="13" t="str">
        <f t="shared" si="3"/>
        <v>vis</v>
      </c>
      <c r="E21" s="45">
        <f>VLOOKUP(C21,Active!C$21:E$973,3,FALSE)</f>
        <v>-100.99095891924763</v>
      </c>
      <c r="F21" s="5" t="s">
        <v>83</v>
      </c>
      <c r="G21" s="13" t="str">
        <f t="shared" si="4"/>
        <v>44691.534</v>
      </c>
      <c r="H21" s="15">
        <f t="shared" si="5"/>
        <v>-101</v>
      </c>
      <c r="I21" s="46" t="s">
        <v>154</v>
      </c>
      <c r="J21" s="47" t="s">
        <v>155</v>
      </c>
      <c r="K21" s="46">
        <v>-101</v>
      </c>
      <c r="L21" s="46" t="s">
        <v>115</v>
      </c>
      <c r="M21" s="47" t="s">
        <v>122</v>
      </c>
      <c r="N21" s="47"/>
      <c r="O21" s="48" t="s">
        <v>123</v>
      </c>
      <c r="P21" s="48" t="s">
        <v>153</v>
      </c>
    </row>
    <row r="22" spans="1:16" ht="12.75" customHeight="1" thickBot="1" x14ac:dyDescent="0.25">
      <c r="A22" s="15" t="str">
        <f t="shared" si="0"/>
        <v> BBS 54 </v>
      </c>
      <c r="B22" s="5" t="str">
        <f t="shared" si="1"/>
        <v>I</v>
      </c>
      <c r="C22" s="15">
        <f t="shared" si="2"/>
        <v>44705.608999999997</v>
      </c>
      <c r="D22" s="13" t="str">
        <f t="shared" si="3"/>
        <v>vis</v>
      </c>
      <c r="E22" s="45">
        <f>VLOOKUP(C22,Active!C$21:E$973,3,FALSE)</f>
        <v>-82.992937358964184</v>
      </c>
      <c r="F22" s="5" t="s">
        <v>83</v>
      </c>
      <c r="G22" s="13" t="str">
        <f t="shared" si="4"/>
        <v>44705.609</v>
      </c>
      <c r="H22" s="15">
        <f t="shared" si="5"/>
        <v>-83</v>
      </c>
      <c r="I22" s="46" t="s">
        <v>156</v>
      </c>
      <c r="J22" s="47" t="s">
        <v>157</v>
      </c>
      <c r="K22" s="46">
        <v>-83</v>
      </c>
      <c r="L22" s="46" t="s">
        <v>133</v>
      </c>
      <c r="M22" s="47" t="s">
        <v>122</v>
      </c>
      <c r="N22" s="47"/>
      <c r="O22" s="48" t="s">
        <v>123</v>
      </c>
      <c r="P22" s="48" t="s">
        <v>158</v>
      </c>
    </row>
    <row r="23" spans="1:16" ht="12.75" customHeight="1" thickBot="1" x14ac:dyDescent="0.25">
      <c r="A23" s="15" t="str">
        <f t="shared" si="0"/>
        <v> BBS 55 </v>
      </c>
      <c r="B23" s="5" t="str">
        <f t="shared" si="1"/>
        <v>I</v>
      </c>
      <c r="C23" s="15">
        <f t="shared" si="2"/>
        <v>44763.47</v>
      </c>
      <c r="D23" s="13" t="str">
        <f t="shared" si="3"/>
        <v>vis</v>
      </c>
      <c r="E23" s="45">
        <f>VLOOKUP(C23,Active!C$21:E$973,3,FALSE)</f>
        <v>-9.0047650321538395</v>
      </c>
      <c r="F23" s="5" t="s">
        <v>83</v>
      </c>
      <c r="G23" s="13" t="str">
        <f t="shared" si="4"/>
        <v>44763.470</v>
      </c>
      <c r="H23" s="15">
        <f t="shared" si="5"/>
        <v>-9</v>
      </c>
      <c r="I23" s="46" t="s">
        <v>159</v>
      </c>
      <c r="J23" s="47" t="s">
        <v>160</v>
      </c>
      <c r="K23" s="46">
        <v>-9</v>
      </c>
      <c r="L23" s="46" t="s">
        <v>161</v>
      </c>
      <c r="M23" s="47" t="s">
        <v>122</v>
      </c>
      <c r="N23" s="47"/>
      <c r="O23" s="48" t="s">
        <v>123</v>
      </c>
      <c r="P23" s="48" t="s">
        <v>162</v>
      </c>
    </row>
    <row r="24" spans="1:16" ht="12.75" customHeight="1" thickBot="1" x14ac:dyDescent="0.25">
      <c r="A24" s="15" t="str">
        <f t="shared" si="0"/>
        <v> BBS 55 </v>
      </c>
      <c r="B24" s="5" t="str">
        <f t="shared" si="1"/>
        <v>I</v>
      </c>
      <c r="C24" s="15">
        <f t="shared" si="2"/>
        <v>44770.512000000002</v>
      </c>
      <c r="D24" s="13" t="str">
        <f t="shared" si="3"/>
        <v>vis</v>
      </c>
      <c r="E24" s="45">
        <f>VLOOKUP(C24,Active!C$21:E$973,3,FALSE)</f>
        <v>0</v>
      </c>
      <c r="F24" s="5" t="s">
        <v>83</v>
      </c>
      <c r="G24" s="13" t="str">
        <f t="shared" si="4"/>
        <v>44770.512</v>
      </c>
      <c r="H24" s="15">
        <f t="shared" si="5"/>
        <v>0</v>
      </c>
      <c r="I24" s="46" t="s">
        <v>163</v>
      </c>
      <c r="J24" s="47" t="s">
        <v>164</v>
      </c>
      <c r="K24" s="46">
        <v>0</v>
      </c>
      <c r="L24" s="46" t="s">
        <v>165</v>
      </c>
      <c r="M24" s="47" t="s">
        <v>122</v>
      </c>
      <c r="N24" s="47"/>
      <c r="O24" s="48" t="s">
        <v>123</v>
      </c>
      <c r="P24" s="48" t="s">
        <v>162</v>
      </c>
    </row>
    <row r="25" spans="1:16" ht="12.75" customHeight="1" thickBot="1" x14ac:dyDescent="0.25">
      <c r="A25" s="15" t="str">
        <f t="shared" si="0"/>
        <v> BBS 59 </v>
      </c>
      <c r="B25" s="5" t="str">
        <f t="shared" si="1"/>
        <v>I</v>
      </c>
      <c r="C25" s="15">
        <f t="shared" si="2"/>
        <v>45053.606</v>
      </c>
      <c r="D25" s="13" t="str">
        <f t="shared" si="3"/>
        <v>vis</v>
      </c>
      <c r="E25" s="45">
        <f>VLOOKUP(C25,Active!C$21:E$973,3,FALSE)</f>
        <v>361.99871513945919</v>
      </c>
      <c r="F25" s="5" t="s">
        <v>83</v>
      </c>
      <c r="G25" s="13" t="str">
        <f t="shared" si="4"/>
        <v>45053.606</v>
      </c>
      <c r="H25" s="15">
        <f t="shared" si="5"/>
        <v>362</v>
      </c>
      <c r="I25" s="46" t="s">
        <v>166</v>
      </c>
      <c r="J25" s="47" t="s">
        <v>167</v>
      </c>
      <c r="K25" s="46">
        <v>362</v>
      </c>
      <c r="L25" s="46" t="s">
        <v>97</v>
      </c>
      <c r="M25" s="47" t="s">
        <v>122</v>
      </c>
      <c r="N25" s="47"/>
      <c r="O25" s="48" t="s">
        <v>123</v>
      </c>
      <c r="P25" s="48" t="s">
        <v>168</v>
      </c>
    </row>
    <row r="26" spans="1:16" ht="12.75" customHeight="1" thickBot="1" x14ac:dyDescent="0.25">
      <c r="A26" s="15" t="str">
        <f t="shared" si="0"/>
        <v> BBS 60 </v>
      </c>
      <c r="B26" s="5" t="str">
        <f t="shared" si="1"/>
        <v>I</v>
      </c>
      <c r="C26" s="15">
        <f t="shared" si="2"/>
        <v>45111.47</v>
      </c>
      <c r="D26" s="13" t="str">
        <f t="shared" si="3"/>
        <v>vis</v>
      </c>
      <c r="E26" s="45">
        <f>VLOOKUP(C26,Active!C$21:E$973,3,FALSE)</f>
        <v>435.99072363427138</v>
      </c>
      <c r="F26" s="5" t="s">
        <v>83</v>
      </c>
      <c r="G26" s="13" t="str">
        <f t="shared" si="4"/>
        <v>45111.470</v>
      </c>
      <c r="H26" s="15">
        <f t="shared" si="5"/>
        <v>436</v>
      </c>
      <c r="I26" s="46" t="s">
        <v>169</v>
      </c>
      <c r="J26" s="47" t="s">
        <v>170</v>
      </c>
      <c r="K26" s="46">
        <v>436</v>
      </c>
      <c r="L26" s="46" t="s">
        <v>171</v>
      </c>
      <c r="M26" s="47" t="s">
        <v>122</v>
      </c>
      <c r="N26" s="47"/>
      <c r="O26" s="48" t="s">
        <v>123</v>
      </c>
      <c r="P26" s="48" t="s">
        <v>172</v>
      </c>
    </row>
    <row r="27" spans="1:16" ht="12.75" customHeight="1" thickBot="1" x14ac:dyDescent="0.25">
      <c r="A27" s="15" t="str">
        <f t="shared" si="0"/>
        <v> BBS 61 </v>
      </c>
      <c r="B27" s="5" t="str">
        <f t="shared" si="1"/>
        <v>I</v>
      </c>
      <c r="C27" s="15">
        <f t="shared" si="2"/>
        <v>45172.485999999997</v>
      </c>
      <c r="D27" s="13" t="str">
        <f t="shared" si="3"/>
        <v>vis</v>
      </c>
      <c r="E27" s="45">
        <f>VLOOKUP(C27,Active!C$21:E$973,3,FALSE)</f>
        <v>514.01326598044614</v>
      </c>
      <c r="F27" s="5" t="s">
        <v>83</v>
      </c>
      <c r="G27" s="13" t="str">
        <f t="shared" si="4"/>
        <v>45172.486</v>
      </c>
      <c r="H27" s="15">
        <f t="shared" si="5"/>
        <v>514</v>
      </c>
      <c r="I27" s="46" t="s">
        <v>173</v>
      </c>
      <c r="J27" s="47" t="s">
        <v>174</v>
      </c>
      <c r="K27" s="46">
        <v>514</v>
      </c>
      <c r="L27" s="46" t="s">
        <v>118</v>
      </c>
      <c r="M27" s="47" t="s">
        <v>122</v>
      </c>
      <c r="N27" s="47"/>
      <c r="O27" s="48" t="s">
        <v>123</v>
      </c>
      <c r="P27" s="48" t="s">
        <v>175</v>
      </c>
    </row>
    <row r="28" spans="1:16" ht="12.75" customHeight="1" thickBot="1" x14ac:dyDescent="0.25">
      <c r="A28" s="15" t="str">
        <f t="shared" si="0"/>
        <v> BBS 62 </v>
      </c>
      <c r="B28" s="5" t="str">
        <f t="shared" si="1"/>
        <v>I</v>
      </c>
      <c r="C28" s="15">
        <f t="shared" si="2"/>
        <v>45194.368999999999</v>
      </c>
      <c r="D28" s="13" t="str">
        <f t="shared" si="3"/>
        <v>vis</v>
      </c>
      <c r="E28" s="45">
        <f>VLOOKUP(C28,Active!C$21:E$973,3,FALSE)</f>
        <v>541.99555413702114</v>
      </c>
      <c r="F28" s="5" t="s">
        <v>83</v>
      </c>
      <c r="G28" s="13" t="str">
        <f t="shared" si="4"/>
        <v>45194.369</v>
      </c>
      <c r="H28" s="15">
        <f t="shared" si="5"/>
        <v>542</v>
      </c>
      <c r="I28" s="46" t="s">
        <v>176</v>
      </c>
      <c r="J28" s="47" t="s">
        <v>177</v>
      </c>
      <c r="K28" s="46">
        <v>542</v>
      </c>
      <c r="L28" s="46" t="s">
        <v>85</v>
      </c>
      <c r="M28" s="47" t="s">
        <v>122</v>
      </c>
      <c r="N28" s="47"/>
      <c r="O28" s="48" t="s">
        <v>123</v>
      </c>
      <c r="P28" s="48" t="s">
        <v>178</v>
      </c>
    </row>
    <row r="29" spans="1:16" ht="12.75" customHeight="1" thickBot="1" x14ac:dyDescent="0.25">
      <c r="A29" s="15" t="str">
        <f t="shared" si="0"/>
        <v> BBS 66 </v>
      </c>
      <c r="B29" s="5" t="str">
        <f t="shared" si="1"/>
        <v>I</v>
      </c>
      <c r="C29" s="15">
        <f t="shared" si="2"/>
        <v>45466.491000000002</v>
      </c>
      <c r="D29" s="13" t="str">
        <f t="shared" si="3"/>
        <v>vis</v>
      </c>
      <c r="E29" s="45">
        <f>VLOOKUP(C29,Active!C$21:E$973,3,FALSE)</f>
        <v>889.96412415680948</v>
      </c>
      <c r="F29" s="5" t="s">
        <v>83</v>
      </c>
      <c r="G29" s="13" t="str">
        <f t="shared" si="4"/>
        <v>45466.491</v>
      </c>
      <c r="H29" s="15">
        <f t="shared" si="5"/>
        <v>890</v>
      </c>
      <c r="I29" s="46" t="s">
        <v>179</v>
      </c>
      <c r="J29" s="47" t="s">
        <v>180</v>
      </c>
      <c r="K29" s="46">
        <v>890</v>
      </c>
      <c r="L29" s="46" t="s">
        <v>181</v>
      </c>
      <c r="M29" s="47" t="s">
        <v>122</v>
      </c>
      <c r="N29" s="47"/>
      <c r="O29" s="48" t="s">
        <v>123</v>
      </c>
      <c r="P29" s="48" t="s">
        <v>182</v>
      </c>
    </row>
    <row r="30" spans="1:16" ht="12.75" customHeight="1" thickBot="1" x14ac:dyDescent="0.25">
      <c r="A30" s="15" t="str">
        <f t="shared" si="0"/>
        <v> BBS 72 </v>
      </c>
      <c r="B30" s="5" t="str">
        <f t="shared" si="1"/>
        <v>I</v>
      </c>
      <c r="C30" s="15">
        <f t="shared" si="2"/>
        <v>45854.398999999998</v>
      </c>
      <c r="D30" s="13" t="str">
        <f t="shared" si="3"/>
        <v>vis</v>
      </c>
      <c r="E30" s="45">
        <f>VLOOKUP(C30,Active!C$21:E$973,3,FALSE)</f>
        <v>1385.990877080987</v>
      </c>
      <c r="F30" s="5" t="s">
        <v>83</v>
      </c>
      <c r="G30" s="13" t="str">
        <f t="shared" si="4"/>
        <v>45854.399</v>
      </c>
      <c r="H30" s="15">
        <f t="shared" si="5"/>
        <v>1386</v>
      </c>
      <c r="I30" s="46" t="s">
        <v>183</v>
      </c>
      <c r="J30" s="47" t="s">
        <v>184</v>
      </c>
      <c r="K30" s="46">
        <v>1386</v>
      </c>
      <c r="L30" s="46" t="s">
        <v>171</v>
      </c>
      <c r="M30" s="47" t="s">
        <v>122</v>
      </c>
      <c r="N30" s="47"/>
      <c r="O30" s="48" t="s">
        <v>185</v>
      </c>
      <c r="P30" s="48" t="s">
        <v>186</v>
      </c>
    </row>
    <row r="31" spans="1:16" ht="12.75" customHeight="1" thickBot="1" x14ac:dyDescent="0.25">
      <c r="A31" s="15" t="str">
        <f t="shared" si="0"/>
        <v> BBS 72 </v>
      </c>
      <c r="B31" s="5" t="str">
        <f t="shared" si="1"/>
        <v>I</v>
      </c>
      <c r="C31" s="15">
        <f t="shared" si="2"/>
        <v>45861.436000000002</v>
      </c>
      <c r="D31" s="13" t="str">
        <f t="shared" si="3"/>
        <v>vis</v>
      </c>
      <c r="E31" s="45">
        <f>VLOOKUP(C31,Active!C$21:E$973,3,FALSE)</f>
        <v>1394.9892484998013</v>
      </c>
      <c r="F31" s="5" t="s">
        <v>83</v>
      </c>
      <c r="G31" s="13" t="str">
        <f t="shared" si="4"/>
        <v>45861.436</v>
      </c>
      <c r="H31" s="15">
        <f t="shared" si="5"/>
        <v>1395</v>
      </c>
      <c r="I31" s="46" t="s">
        <v>187</v>
      </c>
      <c r="J31" s="47" t="s">
        <v>188</v>
      </c>
      <c r="K31" s="46">
        <v>1395</v>
      </c>
      <c r="L31" s="46" t="s">
        <v>189</v>
      </c>
      <c r="M31" s="47" t="s">
        <v>122</v>
      </c>
      <c r="N31" s="47"/>
      <c r="O31" s="48" t="s">
        <v>123</v>
      </c>
      <c r="P31" s="48" t="s">
        <v>186</v>
      </c>
    </row>
    <row r="32" spans="1:16" ht="12.75" customHeight="1" thickBot="1" x14ac:dyDescent="0.25">
      <c r="A32" s="15" t="str">
        <f t="shared" si="0"/>
        <v> BBS 73 </v>
      </c>
      <c r="B32" s="5" t="str">
        <f t="shared" si="1"/>
        <v>I</v>
      </c>
      <c r="C32" s="15">
        <f t="shared" si="2"/>
        <v>45933.394999999997</v>
      </c>
      <c r="D32" s="13" t="str">
        <f t="shared" si="3"/>
        <v>vis</v>
      </c>
      <c r="E32" s="45">
        <f>VLOOKUP(C32,Active!C$21:E$973,3,FALSE)</f>
        <v>1487.0048530082645</v>
      </c>
      <c r="F32" s="5" t="s">
        <v>83</v>
      </c>
      <c r="G32" s="13" t="str">
        <f t="shared" si="4"/>
        <v>45933.395</v>
      </c>
      <c r="H32" s="15">
        <f t="shared" si="5"/>
        <v>1487</v>
      </c>
      <c r="I32" s="46" t="s">
        <v>190</v>
      </c>
      <c r="J32" s="47" t="s">
        <v>191</v>
      </c>
      <c r="K32" s="46">
        <v>1487</v>
      </c>
      <c r="L32" s="46" t="s">
        <v>130</v>
      </c>
      <c r="M32" s="47" t="s">
        <v>122</v>
      </c>
      <c r="N32" s="47"/>
      <c r="O32" s="48" t="s">
        <v>123</v>
      </c>
      <c r="P32" s="48" t="s">
        <v>192</v>
      </c>
    </row>
    <row r="33" spans="1:16" ht="12.75" customHeight="1" thickBot="1" x14ac:dyDescent="0.25">
      <c r="A33" s="15" t="str">
        <f t="shared" si="0"/>
        <v> BBS 73 </v>
      </c>
      <c r="B33" s="5" t="str">
        <f t="shared" si="1"/>
        <v>I</v>
      </c>
      <c r="C33" s="15">
        <f t="shared" si="2"/>
        <v>45940.415000000001</v>
      </c>
      <c r="D33" s="13" t="str">
        <f t="shared" si="3"/>
        <v>vis</v>
      </c>
      <c r="E33" s="45">
        <f>VLOOKUP(C33,Active!C$21:E$973,3,FALSE)</f>
        <v>1495.9814861417133</v>
      </c>
      <c r="F33" s="5" t="s">
        <v>83</v>
      </c>
      <c r="G33" s="13" t="str">
        <f t="shared" si="4"/>
        <v>45940.415</v>
      </c>
      <c r="H33" s="15">
        <f t="shared" si="5"/>
        <v>1496</v>
      </c>
      <c r="I33" s="46" t="s">
        <v>193</v>
      </c>
      <c r="J33" s="47" t="s">
        <v>194</v>
      </c>
      <c r="K33" s="46">
        <v>1496</v>
      </c>
      <c r="L33" s="46" t="s">
        <v>195</v>
      </c>
      <c r="M33" s="47" t="s">
        <v>122</v>
      </c>
      <c r="N33" s="47"/>
      <c r="O33" s="48" t="s">
        <v>123</v>
      </c>
      <c r="P33" s="48" t="s">
        <v>192</v>
      </c>
    </row>
    <row r="34" spans="1:16" ht="12.75" customHeight="1" thickBot="1" x14ac:dyDescent="0.25">
      <c r="A34" s="15" t="str">
        <f t="shared" si="0"/>
        <v> BBS 76 </v>
      </c>
      <c r="B34" s="5" t="str">
        <f t="shared" si="1"/>
        <v>I</v>
      </c>
      <c r="C34" s="15">
        <f t="shared" si="2"/>
        <v>46176.601000000002</v>
      </c>
      <c r="D34" s="13" t="str">
        <f t="shared" si="3"/>
        <v>vis</v>
      </c>
      <c r="E34" s="45">
        <f>VLOOKUP(C34,Active!C$21:E$973,3,FALSE)</f>
        <v>1797.9978783433482</v>
      </c>
      <c r="F34" s="5" t="s">
        <v>83</v>
      </c>
      <c r="G34" s="13" t="str">
        <f t="shared" si="4"/>
        <v>46176.601</v>
      </c>
      <c r="H34" s="15">
        <f t="shared" si="5"/>
        <v>1798</v>
      </c>
      <c r="I34" s="46" t="s">
        <v>196</v>
      </c>
      <c r="J34" s="47" t="s">
        <v>197</v>
      </c>
      <c r="K34" s="46">
        <v>1798</v>
      </c>
      <c r="L34" s="46" t="s">
        <v>198</v>
      </c>
      <c r="M34" s="47" t="s">
        <v>122</v>
      </c>
      <c r="N34" s="47"/>
      <c r="O34" s="48" t="s">
        <v>123</v>
      </c>
      <c r="P34" s="48" t="s">
        <v>199</v>
      </c>
    </row>
    <row r="35" spans="1:16" ht="12.75" customHeight="1" thickBot="1" x14ac:dyDescent="0.25">
      <c r="A35" s="15" t="str">
        <f t="shared" si="0"/>
        <v> BBS 78 </v>
      </c>
      <c r="B35" s="5" t="str">
        <f t="shared" si="1"/>
        <v>I</v>
      </c>
      <c r="C35" s="15">
        <f t="shared" si="2"/>
        <v>46299.374000000003</v>
      </c>
      <c r="D35" s="13" t="str">
        <f t="shared" si="3"/>
        <v>vis</v>
      </c>
      <c r="E35" s="45">
        <f>VLOOKUP(C35,Active!C$21:E$973,3,FALSE)</f>
        <v>1954.9904965331284</v>
      </c>
      <c r="F35" s="5" t="s">
        <v>83</v>
      </c>
      <c r="G35" s="13" t="str">
        <f t="shared" si="4"/>
        <v>46299.374</v>
      </c>
      <c r="H35" s="15">
        <f t="shared" si="5"/>
        <v>1955</v>
      </c>
      <c r="I35" s="46" t="s">
        <v>200</v>
      </c>
      <c r="J35" s="47" t="s">
        <v>201</v>
      </c>
      <c r="K35" s="46">
        <v>1955</v>
      </c>
      <c r="L35" s="46" t="s">
        <v>171</v>
      </c>
      <c r="M35" s="47" t="s">
        <v>122</v>
      </c>
      <c r="N35" s="47"/>
      <c r="O35" s="48" t="s">
        <v>123</v>
      </c>
      <c r="P35" s="48" t="s">
        <v>202</v>
      </c>
    </row>
    <row r="36" spans="1:16" ht="12.75" customHeight="1" thickBot="1" x14ac:dyDescent="0.25">
      <c r="A36" s="15" t="str">
        <f t="shared" si="0"/>
        <v> BBS 80 </v>
      </c>
      <c r="B36" s="5" t="str">
        <f t="shared" si="1"/>
        <v>I</v>
      </c>
      <c r="C36" s="15">
        <f t="shared" si="2"/>
        <v>46495.658000000003</v>
      </c>
      <c r="D36" s="13" t="str">
        <f t="shared" si="3"/>
        <v>vis</v>
      </c>
      <c r="E36" s="45">
        <f>VLOOKUP(C36,Active!C$21:E$973,3,FALSE)</f>
        <v>2205.9832968130145</v>
      </c>
      <c r="F36" s="5" t="s">
        <v>83</v>
      </c>
      <c r="G36" s="13" t="str">
        <f t="shared" si="4"/>
        <v>46495.658</v>
      </c>
      <c r="H36" s="15">
        <f t="shared" si="5"/>
        <v>2206</v>
      </c>
      <c r="I36" s="46" t="s">
        <v>203</v>
      </c>
      <c r="J36" s="47" t="s">
        <v>204</v>
      </c>
      <c r="K36" s="46">
        <v>2206</v>
      </c>
      <c r="L36" s="46" t="s">
        <v>205</v>
      </c>
      <c r="M36" s="47" t="s">
        <v>122</v>
      </c>
      <c r="N36" s="47"/>
      <c r="O36" s="48" t="s">
        <v>123</v>
      </c>
      <c r="P36" s="48" t="s">
        <v>206</v>
      </c>
    </row>
    <row r="37" spans="1:16" ht="12.75" customHeight="1" thickBot="1" x14ac:dyDescent="0.25">
      <c r="A37" s="15" t="str">
        <f t="shared" si="0"/>
        <v> BBS 80 </v>
      </c>
      <c r="B37" s="5" t="str">
        <f t="shared" si="1"/>
        <v>I</v>
      </c>
      <c r="C37" s="15">
        <f t="shared" si="2"/>
        <v>46553.548999999999</v>
      </c>
      <c r="D37" s="13" t="str">
        <f t="shared" si="3"/>
        <v>vis</v>
      </c>
      <c r="E37" s="45">
        <f>VLOOKUP(C37,Active!C$21:E$973,3,FALSE)</f>
        <v>2280.0098308198717</v>
      </c>
      <c r="F37" s="5" t="s">
        <v>83</v>
      </c>
      <c r="G37" s="13" t="str">
        <f t="shared" si="4"/>
        <v>46553.549</v>
      </c>
      <c r="H37" s="15">
        <f t="shared" si="5"/>
        <v>2280</v>
      </c>
      <c r="I37" s="46" t="s">
        <v>212</v>
      </c>
      <c r="J37" s="47" t="s">
        <v>213</v>
      </c>
      <c r="K37" s="46">
        <v>2280</v>
      </c>
      <c r="L37" s="46" t="s">
        <v>214</v>
      </c>
      <c r="M37" s="47" t="s">
        <v>122</v>
      </c>
      <c r="N37" s="47"/>
      <c r="O37" s="48" t="s">
        <v>123</v>
      </c>
      <c r="P37" s="48" t="s">
        <v>206</v>
      </c>
    </row>
    <row r="38" spans="1:16" ht="12.75" customHeight="1" thickBot="1" x14ac:dyDescent="0.25">
      <c r="A38" s="15" t="str">
        <f t="shared" si="0"/>
        <v> BBS 115 </v>
      </c>
      <c r="B38" s="5" t="str">
        <f t="shared" si="1"/>
        <v>I</v>
      </c>
      <c r="C38" s="15">
        <f t="shared" si="2"/>
        <v>50586.457000000002</v>
      </c>
      <c r="D38" s="13" t="str">
        <f t="shared" si="3"/>
        <v>vis</v>
      </c>
      <c r="E38" s="45">
        <f>VLOOKUP(C38,Active!C$21:E$973,3,FALSE)</f>
        <v>7436.9807107242887</v>
      </c>
      <c r="F38" s="5" t="s">
        <v>83</v>
      </c>
      <c r="G38" s="13" t="str">
        <f t="shared" si="4"/>
        <v>50586.457</v>
      </c>
      <c r="H38" s="15">
        <f t="shared" si="5"/>
        <v>7437</v>
      </c>
      <c r="I38" s="46" t="s">
        <v>219</v>
      </c>
      <c r="J38" s="47" t="s">
        <v>220</v>
      </c>
      <c r="K38" s="46">
        <v>7437</v>
      </c>
      <c r="L38" s="46" t="s">
        <v>221</v>
      </c>
      <c r="M38" s="47" t="s">
        <v>222</v>
      </c>
      <c r="N38" s="47" t="s">
        <v>223</v>
      </c>
      <c r="O38" s="48" t="s">
        <v>224</v>
      </c>
      <c r="P38" s="48" t="s">
        <v>225</v>
      </c>
    </row>
    <row r="39" spans="1:16" ht="12.75" customHeight="1" thickBot="1" x14ac:dyDescent="0.25">
      <c r="A39" s="15" t="str">
        <f t="shared" si="0"/>
        <v>IBVS 5027 </v>
      </c>
      <c r="B39" s="5" t="str">
        <f t="shared" si="1"/>
        <v>I</v>
      </c>
      <c r="C39" s="15">
        <f t="shared" si="2"/>
        <v>51291.818700000003</v>
      </c>
      <c r="D39" s="13" t="str">
        <f t="shared" si="3"/>
        <v>vis</v>
      </c>
      <c r="E39" s="45">
        <f>VLOOKUP(C39,Active!C$21:E$973,3,FALSE)</f>
        <v>8338.9427060636026</v>
      </c>
      <c r="F39" s="5" t="s">
        <v>83</v>
      </c>
      <c r="G39" s="13" t="str">
        <f t="shared" si="4"/>
        <v>51291.8187</v>
      </c>
      <c r="H39" s="15">
        <f t="shared" si="5"/>
        <v>8339</v>
      </c>
      <c r="I39" s="46" t="s">
        <v>229</v>
      </c>
      <c r="J39" s="47" t="s">
        <v>230</v>
      </c>
      <c r="K39" s="46">
        <v>8339</v>
      </c>
      <c r="L39" s="46" t="s">
        <v>231</v>
      </c>
      <c r="M39" s="47" t="s">
        <v>222</v>
      </c>
      <c r="N39" s="47" t="s">
        <v>223</v>
      </c>
      <c r="O39" s="48" t="s">
        <v>232</v>
      </c>
      <c r="P39" s="49" t="s">
        <v>233</v>
      </c>
    </row>
    <row r="40" spans="1:16" ht="12.75" customHeight="1" thickBot="1" x14ac:dyDescent="0.25">
      <c r="A40" s="15" t="str">
        <f t="shared" si="0"/>
        <v>IBVS 5027 </v>
      </c>
      <c r="B40" s="5" t="str">
        <f t="shared" si="1"/>
        <v>II</v>
      </c>
      <c r="C40" s="15">
        <f t="shared" si="2"/>
        <v>51304.7379</v>
      </c>
      <c r="D40" s="13" t="str">
        <f t="shared" si="3"/>
        <v>vis</v>
      </c>
      <c r="E40" s="45">
        <f>VLOOKUP(C40,Active!C$21:E$973,3,FALSE)</f>
        <v>8355.4627799635382</v>
      </c>
      <c r="F40" s="5" t="s">
        <v>83</v>
      </c>
      <c r="G40" s="13" t="str">
        <f t="shared" si="4"/>
        <v>51304.7379</v>
      </c>
      <c r="H40" s="15">
        <f t="shared" si="5"/>
        <v>8355.5</v>
      </c>
      <c r="I40" s="46" t="s">
        <v>234</v>
      </c>
      <c r="J40" s="47" t="s">
        <v>235</v>
      </c>
      <c r="K40" s="46">
        <v>8355.5</v>
      </c>
      <c r="L40" s="46" t="s">
        <v>236</v>
      </c>
      <c r="M40" s="47" t="s">
        <v>222</v>
      </c>
      <c r="N40" s="47" t="s">
        <v>223</v>
      </c>
      <c r="O40" s="48" t="s">
        <v>232</v>
      </c>
      <c r="P40" s="49" t="s">
        <v>233</v>
      </c>
    </row>
    <row r="41" spans="1:16" ht="12.75" customHeight="1" thickBot="1" x14ac:dyDescent="0.25">
      <c r="A41" s="15" t="str">
        <f t="shared" si="0"/>
        <v>IBVS 5263 </v>
      </c>
      <c r="B41" s="5" t="str">
        <f t="shared" si="1"/>
        <v>I</v>
      </c>
      <c r="C41" s="15">
        <f t="shared" si="2"/>
        <v>51401.335400000004</v>
      </c>
      <c r="D41" s="13" t="str">
        <f t="shared" si="3"/>
        <v>vis</v>
      </c>
      <c r="E41" s="45">
        <f>VLOOKUP(C41,Active!C$21:E$973,3,FALSE)</f>
        <v>8478.9841929418617</v>
      </c>
      <c r="F41" s="5" t="s">
        <v>83</v>
      </c>
      <c r="G41" s="13" t="str">
        <f t="shared" si="4"/>
        <v>51401.3354</v>
      </c>
      <c r="H41" s="15">
        <f t="shared" si="5"/>
        <v>8479</v>
      </c>
      <c r="I41" s="46" t="s">
        <v>237</v>
      </c>
      <c r="J41" s="47" t="s">
        <v>238</v>
      </c>
      <c r="K41" s="46">
        <v>8479</v>
      </c>
      <c r="L41" s="46" t="s">
        <v>239</v>
      </c>
      <c r="M41" s="47" t="s">
        <v>222</v>
      </c>
      <c r="N41" s="47" t="s">
        <v>223</v>
      </c>
      <c r="O41" s="48" t="s">
        <v>240</v>
      </c>
      <c r="P41" s="49" t="s">
        <v>241</v>
      </c>
    </row>
    <row r="42" spans="1:16" ht="12.75" customHeight="1" thickBot="1" x14ac:dyDescent="0.25">
      <c r="A42" s="15" t="str">
        <f t="shared" si="0"/>
        <v>IBVS 5263 </v>
      </c>
      <c r="B42" s="5" t="str">
        <f t="shared" si="1"/>
        <v>I</v>
      </c>
      <c r="C42" s="15">
        <f t="shared" si="2"/>
        <v>51404.4611</v>
      </c>
      <c r="D42" s="13" t="str">
        <f t="shared" si="3"/>
        <v>vis</v>
      </c>
      <c r="E42" s="45">
        <f>VLOOKUP(C42,Active!C$21:E$973,3,FALSE)</f>
        <v>8482.9810963870423</v>
      </c>
      <c r="F42" s="5" t="s">
        <v>83</v>
      </c>
      <c r="G42" s="13" t="str">
        <f t="shared" si="4"/>
        <v>51404.4611</v>
      </c>
      <c r="H42" s="15">
        <f t="shared" si="5"/>
        <v>8483</v>
      </c>
      <c r="I42" s="46" t="s">
        <v>242</v>
      </c>
      <c r="J42" s="47" t="s">
        <v>243</v>
      </c>
      <c r="K42" s="46">
        <v>8483</v>
      </c>
      <c r="L42" s="46" t="s">
        <v>244</v>
      </c>
      <c r="M42" s="47" t="s">
        <v>222</v>
      </c>
      <c r="N42" s="47" t="s">
        <v>223</v>
      </c>
      <c r="O42" s="48" t="s">
        <v>240</v>
      </c>
      <c r="P42" s="49" t="s">
        <v>241</v>
      </c>
    </row>
    <row r="43" spans="1:16" ht="12.75" customHeight="1" thickBot="1" x14ac:dyDescent="0.25">
      <c r="A43" s="15" t="str">
        <f t="shared" ref="A43:A68" si="6">P43</f>
        <v>OEJV 0074 </v>
      </c>
      <c r="B43" s="5" t="str">
        <f t="shared" ref="B43:B68" si="7">IF(H43=INT(H43),"I","II")</f>
        <v>I</v>
      </c>
      <c r="C43" s="15">
        <f t="shared" ref="C43:C68" si="8">1*G43</f>
        <v>51684.424169999998</v>
      </c>
      <c r="D43" s="13" t="str">
        <f t="shared" ref="D43:D68" si="9">VLOOKUP(F43,I$1:J$5,2,FALSE)</f>
        <v>vis</v>
      </c>
      <c r="E43" s="45">
        <f>VLOOKUP(C43,Active!C$21:E$973,3,FALSE)</f>
        <v>8840.9762203617611</v>
      </c>
      <c r="F43" s="5" t="s">
        <v>83</v>
      </c>
      <c r="G43" s="13" t="str">
        <f t="shared" ref="G43:G68" si="10">MID(I43,3,LEN(I43)-3)</f>
        <v>51684.42417</v>
      </c>
      <c r="H43" s="15">
        <f t="shared" ref="H43:H68" si="11">1*K43</f>
        <v>8841</v>
      </c>
      <c r="I43" s="46" t="s">
        <v>245</v>
      </c>
      <c r="J43" s="47" t="s">
        <v>246</v>
      </c>
      <c r="K43" s="46">
        <v>8841</v>
      </c>
      <c r="L43" s="46" t="s">
        <v>247</v>
      </c>
      <c r="M43" s="47" t="s">
        <v>248</v>
      </c>
      <c r="N43" s="47" t="s">
        <v>249</v>
      </c>
      <c r="O43" s="48" t="s">
        <v>250</v>
      </c>
      <c r="P43" s="49" t="s">
        <v>251</v>
      </c>
    </row>
    <row r="44" spans="1:16" ht="12.75" customHeight="1" thickBot="1" x14ac:dyDescent="0.25">
      <c r="A44" s="15" t="str">
        <f t="shared" si="6"/>
        <v>IBVS 5677 </v>
      </c>
      <c r="B44" s="5" t="str">
        <f t="shared" si="7"/>
        <v>I</v>
      </c>
      <c r="C44" s="15">
        <f t="shared" si="8"/>
        <v>53476.8344</v>
      </c>
      <c r="D44" s="13" t="str">
        <f t="shared" si="9"/>
        <v>vis</v>
      </c>
      <c r="E44" s="45">
        <f>VLOOKUP(C44,Active!C$21:E$973,3,FALSE)</f>
        <v>11132.971812860469</v>
      </c>
      <c r="F44" s="5" t="s">
        <v>83</v>
      </c>
      <c r="G44" s="13" t="str">
        <f t="shared" si="10"/>
        <v>53476.8344</v>
      </c>
      <c r="H44" s="15">
        <f t="shared" si="11"/>
        <v>11133</v>
      </c>
      <c r="I44" s="46" t="s">
        <v>256</v>
      </c>
      <c r="J44" s="47" t="s">
        <v>257</v>
      </c>
      <c r="K44" s="46">
        <v>11133</v>
      </c>
      <c r="L44" s="46" t="s">
        <v>258</v>
      </c>
      <c r="M44" s="47" t="s">
        <v>222</v>
      </c>
      <c r="N44" s="47" t="s">
        <v>223</v>
      </c>
      <c r="O44" s="48" t="s">
        <v>259</v>
      </c>
      <c r="P44" s="49" t="s">
        <v>260</v>
      </c>
    </row>
    <row r="45" spans="1:16" ht="12.75" customHeight="1" thickBot="1" x14ac:dyDescent="0.25">
      <c r="A45" s="15" t="str">
        <f t="shared" si="6"/>
        <v>OEJV 0003 </v>
      </c>
      <c r="B45" s="5" t="str">
        <f t="shared" si="7"/>
        <v>I</v>
      </c>
      <c r="C45" s="15">
        <f t="shared" si="8"/>
        <v>53517.487999999998</v>
      </c>
      <c r="D45" s="13" t="str">
        <f t="shared" si="9"/>
        <v>vis</v>
      </c>
      <c r="E45" s="45">
        <f>VLOOKUP(C45,Active!C$21:E$973,3,FALSE)</f>
        <v>11184.956492739917</v>
      </c>
      <c r="F45" s="5" t="s">
        <v>83</v>
      </c>
      <c r="G45" s="13" t="str">
        <f t="shared" si="10"/>
        <v>53517.488</v>
      </c>
      <c r="H45" s="15">
        <f t="shared" si="11"/>
        <v>11185</v>
      </c>
      <c r="I45" s="46" t="s">
        <v>261</v>
      </c>
      <c r="J45" s="47" t="s">
        <v>262</v>
      </c>
      <c r="K45" s="46">
        <v>11185</v>
      </c>
      <c r="L45" s="46" t="s">
        <v>263</v>
      </c>
      <c r="M45" s="47" t="s">
        <v>122</v>
      </c>
      <c r="N45" s="47"/>
      <c r="O45" s="48" t="s">
        <v>123</v>
      </c>
      <c r="P45" s="49" t="s">
        <v>264</v>
      </c>
    </row>
    <row r="46" spans="1:16" ht="12.75" customHeight="1" thickBot="1" x14ac:dyDescent="0.25">
      <c r="A46" s="15" t="str">
        <f t="shared" si="6"/>
        <v>OEJV 0003 </v>
      </c>
      <c r="B46" s="5" t="str">
        <f t="shared" si="7"/>
        <v>I</v>
      </c>
      <c r="C46" s="15">
        <f t="shared" si="8"/>
        <v>53578.497000000003</v>
      </c>
      <c r="D46" s="13" t="str">
        <f t="shared" si="9"/>
        <v>vis</v>
      </c>
      <c r="E46" s="45">
        <f>VLOOKUP(C46,Active!C$21:E$973,3,FALSE)</f>
        <v>11262.970084027425</v>
      </c>
      <c r="F46" s="5" t="s">
        <v>83</v>
      </c>
      <c r="G46" s="13" t="str">
        <f t="shared" si="10"/>
        <v>53578.497</v>
      </c>
      <c r="H46" s="15">
        <f t="shared" si="11"/>
        <v>11263</v>
      </c>
      <c r="I46" s="46" t="s">
        <v>265</v>
      </c>
      <c r="J46" s="47" t="s">
        <v>266</v>
      </c>
      <c r="K46" s="46">
        <v>11263</v>
      </c>
      <c r="L46" s="46" t="s">
        <v>267</v>
      </c>
      <c r="M46" s="47" t="s">
        <v>122</v>
      </c>
      <c r="N46" s="47"/>
      <c r="O46" s="48" t="s">
        <v>123</v>
      </c>
      <c r="P46" s="49" t="s">
        <v>264</v>
      </c>
    </row>
    <row r="47" spans="1:16" ht="12.75" customHeight="1" thickBot="1" x14ac:dyDescent="0.25">
      <c r="A47" s="15" t="str">
        <f t="shared" si="6"/>
        <v>BAVM 178 </v>
      </c>
      <c r="B47" s="5" t="str">
        <f t="shared" si="7"/>
        <v>I</v>
      </c>
      <c r="C47" s="15">
        <f t="shared" si="8"/>
        <v>53636.364000000001</v>
      </c>
      <c r="D47" s="13" t="str">
        <f t="shared" si="9"/>
        <v>vis</v>
      </c>
      <c r="E47" s="45">
        <f>VLOOKUP(C47,Active!C$21:E$973,3,FALSE)</f>
        <v>11336.965928690239</v>
      </c>
      <c r="F47" s="5" t="s">
        <v>83</v>
      </c>
      <c r="G47" s="13" t="str">
        <f t="shared" si="10"/>
        <v>53636.364</v>
      </c>
      <c r="H47" s="15">
        <f t="shared" si="11"/>
        <v>11337</v>
      </c>
      <c r="I47" s="46" t="s">
        <v>268</v>
      </c>
      <c r="J47" s="47" t="s">
        <v>269</v>
      </c>
      <c r="K47" s="46">
        <v>11337</v>
      </c>
      <c r="L47" s="46" t="s">
        <v>270</v>
      </c>
      <c r="M47" s="47" t="s">
        <v>248</v>
      </c>
      <c r="N47" s="47" t="s">
        <v>249</v>
      </c>
      <c r="O47" s="48" t="s">
        <v>271</v>
      </c>
      <c r="P47" s="49" t="s">
        <v>272</v>
      </c>
    </row>
    <row r="48" spans="1:16" ht="12.75" customHeight="1" thickBot="1" x14ac:dyDescent="0.25">
      <c r="A48" s="15" t="str">
        <f t="shared" si="6"/>
        <v>BAVM 178 </v>
      </c>
      <c r="B48" s="5" t="str">
        <f t="shared" si="7"/>
        <v>I</v>
      </c>
      <c r="C48" s="15">
        <f t="shared" si="8"/>
        <v>53818.580399999999</v>
      </c>
      <c r="D48" s="13" t="str">
        <f t="shared" si="9"/>
        <v>vis</v>
      </c>
      <c r="E48" s="45">
        <f>VLOOKUP(C48,Active!C$21:E$973,3,FALSE)</f>
        <v>11569.970169957583</v>
      </c>
      <c r="F48" s="5" t="s">
        <v>83</v>
      </c>
      <c r="G48" s="13" t="str">
        <f t="shared" si="10"/>
        <v>53818.5804</v>
      </c>
      <c r="H48" s="15">
        <f t="shared" si="11"/>
        <v>11570</v>
      </c>
      <c r="I48" s="46" t="s">
        <v>273</v>
      </c>
      <c r="J48" s="47" t="s">
        <v>274</v>
      </c>
      <c r="K48" s="46">
        <v>11570</v>
      </c>
      <c r="L48" s="46" t="s">
        <v>275</v>
      </c>
      <c r="M48" s="47" t="s">
        <v>248</v>
      </c>
      <c r="N48" s="47" t="s">
        <v>249</v>
      </c>
      <c r="O48" s="48" t="s">
        <v>276</v>
      </c>
      <c r="P48" s="49" t="s">
        <v>272</v>
      </c>
    </row>
    <row r="49" spans="1:16" ht="12.75" customHeight="1" thickBot="1" x14ac:dyDescent="0.25">
      <c r="A49" s="15" t="str">
        <f t="shared" si="6"/>
        <v>BAVM 178 </v>
      </c>
      <c r="B49" s="5" t="str">
        <f t="shared" si="7"/>
        <v>I</v>
      </c>
      <c r="C49" s="15">
        <f t="shared" si="8"/>
        <v>53894.436099999999</v>
      </c>
      <c r="D49" s="13" t="str">
        <f t="shared" si="9"/>
        <v>vis</v>
      </c>
      <c r="E49" s="45">
        <f>VLOOKUP(C49,Active!C$21:E$973,3,FALSE)</f>
        <v>11666.968573088714</v>
      </c>
      <c r="F49" s="5" t="s">
        <v>83</v>
      </c>
      <c r="G49" s="13" t="str">
        <f t="shared" si="10"/>
        <v>53894.4361</v>
      </c>
      <c r="H49" s="15">
        <f t="shared" si="11"/>
        <v>11667</v>
      </c>
      <c r="I49" s="46" t="s">
        <v>277</v>
      </c>
      <c r="J49" s="47" t="s">
        <v>278</v>
      </c>
      <c r="K49" s="46">
        <v>11667</v>
      </c>
      <c r="L49" s="46" t="s">
        <v>279</v>
      </c>
      <c r="M49" s="47" t="s">
        <v>248</v>
      </c>
      <c r="N49" s="47" t="s">
        <v>280</v>
      </c>
      <c r="O49" s="48" t="s">
        <v>281</v>
      </c>
      <c r="P49" s="49" t="s">
        <v>272</v>
      </c>
    </row>
    <row r="50" spans="1:16" ht="12.75" customHeight="1" thickBot="1" x14ac:dyDescent="0.25">
      <c r="A50" s="15" t="str">
        <f t="shared" si="6"/>
        <v>BAVM 186 </v>
      </c>
      <c r="B50" s="5" t="str">
        <f t="shared" si="7"/>
        <v>I</v>
      </c>
      <c r="C50" s="15">
        <f t="shared" si="8"/>
        <v>54220.542200000004</v>
      </c>
      <c r="D50" s="13" t="str">
        <f t="shared" si="9"/>
        <v>vis</v>
      </c>
      <c r="E50" s="45">
        <f>VLOOKUP(C50,Active!C$21:E$973,3,FALSE)</f>
        <v>12083.967835521486</v>
      </c>
      <c r="F50" s="5" t="s">
        <v>83</v>
      </c>
      <c r="G50" s="13" t="str">
        <f t="shared" si="10"/>
        <v>54220.5422</v>
      </c>
      <c r="H50" s="15">
        <f t="shared" si="11"/>
        <v>12084</v>
      </c>
      <c r="I50" s="46" t="s">
        <v>282</v>
      </c>
      <c r="J50" s="47" t="s">
        <v>283</v>
      </c>
      <c r="K50" s="46" t="s">
        <v>284</v>
      </c>
      <c r="L50" s="46" t="s">
        <v>285</v>
      </c>
      <c r="M50" s="47" t="s">
        <v>248</v>
      </c>
      <c r="N50" s="47" t="s">
        <v>280</v>
      </c>
      <c r="O50" s="48" t="s">
        <v>286</v>
      </c>
      <c r="P50" s="49" t="s">
        <v>287</v>
      </c>
    </row>
    <row r="51" spans="1:16" ht="12.75" customHeight="1" thickBot="1" x14ac:dyDescent="0.25">
      <c r="A51" s="15" t="str">
        <f t="shared" si="6"/>
        <v>BAVM 220 </v>
      </c>
      <c r="B51" s="5" t="str">
        <f t="shared" si="7"/>
        <v>I</v>
      </c>
      <c r="C51" s="15">
        <f t="shared" si="8"/>
        <v>55648.524599999997</v>
      </c>
      <c r="D51" s="13" t="str">
        <f t="shared" si="9"/>
        <v>vis</v>
      </c>
      <c r="E51" s="45">
        <f>VLOOKUP(C51,Active!C$21:E$973,3,FALSE)</f>
        <v>13909.96130073715</v>
      </c>
      <c r="F51" s="5" t="s">
        <v>83</v>
      </c>
      <c r="G51" s="13" t="str">
        <f t="shared" si="10"/>
        <v>55648.5246</v>
      </c>
      <c r="H51" s="15">
        <f t="shared" si="11"/>
        <v>13910</v>
      </c>
      <c r="I51" s="46" t="s">
        <v>293</v>
      </c>
      <c r="J51" s="47" t="s">
        <v>294</v>
      </c>
      <c r="K51" s="46" t="s">
        <v>295</v>
      </c>
      <c r="L51" s="46" t="s">
        <v>296</v>
      </c>
      <c r="M51" s="47" t="s">
        <v>248</v>
      </c>
      <c r="N51" s="47" t="s">
        <v>249</v>
      </c>
      <c r="O51" s="48" t="s">
        <v>297</v>
      </c>
      <c r="P51" s="49" t="s">
        <v>298</v>
      </c>
    </row>
    <row r="52" spans="1:16" ht="12.75" customHeight="1" thickBot="1" x14ac:dyDescent="0.25">
      <c r="A52" s="15" t="str">
        <f t="shared" si="6"/>
        <v>BAVM 220 </v>
      </c>
      <c r="B52" s="5" t="str">
        <f t="shared" si="7"/>
        <v>I</v>
      </c>
      <c r="C52" s="15">
        <f t="shared" si="8"/>
        <v>55670.423499999997</v>
      </c>
      <c r="D52" s="13" t="str">
        <f t="shared" si="9"/>
        <v>vis</v>
      </c>
      <c r="E52" s="45">
        <f>VLOOKUP(C52,Active!C$21:E$973,3,FALSE)</f>
        <v>13937.963920584154</v>
      </c>
      <c r="F52" s="5" t="s">
        <v>83</v>
      </c>
      <c r="G52" s="13" t="str">
        <f t="shared" si="10"/>
        <v>55670.4235</v>
      </c>
      <c r="H52" s="15">
        <f t="shared" si="11"/>
        <v>13938</v>
      </c>
      <c r="I52" s="46" t="s">
        <v>299</v>
      </c>
      <c r="J52" s="47" t="s">
        <v>300</v>
      </c>
      <c r="K52" s="46" t="s">
        <v>301</v>
      </c>
      <c r="L52" s="46" t="s">
        <v>302</v>
      </c>
      <c r="M52" s="47" t="s">
        <v>248</v>
      </c>
      <c r="N52" s="47" t="s">
        <v>280</v>
      </c>
      <c r="O52" s="48" t="s">
        <v>286</v>
      </c>
      <c r="P52" s="49" t="s">
        <v>298</v>
      </c>
    </row>
    <row r="53" spans="1:16" ht="12.75" customHeight="1" thickBot="1" x14ac:dyDescent="0.25">
      <c r="A53" s="15" t="str">
        <f t="shared" si="6"/>
        <v>BAVM 220 </v>
      </c>
      <c r="B53" s="5" t="str">
        <f t="shared" si="7"/>
        <v>I</v>
      </c>
      <c r="C53" s="15">
        <f t="shared" si="8"/>
        <v>55673.550499999998</v>
      </c>
      <c r="D53" s="13" t="str">
        <f t="shared" si="9"/>
        <v>vis</v>
      </c>
      <c r="E53" s="45">
        <f>VLOOKUP(C53,Active!C$21:E$973,3,FALSE)</f>
        <v>13941.96248636881</v>
      </c>
      <c r="F53" s="5" t="s">
        <v>83</v>
      </c>
      <c r="G53" s="13" t="str">
        <f t="shared" si="10"/>
        <v>55673.5505</v>
      </c>
      <c r="H53" s="15">
        <f t="shared" si="11"/>
        <v>13942</v>
      </c>
      <c r="I53" s="46" t="s">
        <v>303</v>
      </c>
      <c r="J53" s="47" t="s">
        <v>304</v>
      </c>
      <c r="K53" s="46" t="s">
        <v>305</v>
      </c>
      <c r="L53" s="46" t="s">
        <v>306</v>
      </c>
      <c r="M53" s="47" t="s">
        <v>248</v>
      </c>
      <c r="N53" s="47" t="s">
        <v>280</v>
      </c>
      <c r="O53" s="48" t="s">
        <v>286</v>
      </c>
      <c r="P53" s="49" t="s">
        <v>298</v>
      </c>
    </row>
    <row r="54" spans="1:16" ht="12.75" customHeight="1" thickBot="1" x14ac:dyDescent="0.25">
      <c r="A54" s="15" t="str">
        <f t="shared" si="6"/>
        <v> KVBB 19.53 </v>
      </c>
      <c r="B54" s="5" t="str">
        <f t="shared" si="7"/>
        <v>I</v>
      </c>
      <c r="C54" s="15">
        <f t="shared" si="8"/>
        <v>26092.452000000001</v>
      </c>
      <c r="D54" s="13" t="str">
        <f t="shared" si="9"/>
        <v>vis</v>
      </c>
      <c r="E54" s="45">
        <f>VLOOKUP(C54,Active!C$21:E$973,3,FALSE)</f>
        <v>-23884.058727128766</v>
      </c>
      <c r="F54" s="5" t="s">
        <v>83</v>
      </c>
      <c r="G54" s="13" t="str">
        <f t="shared" si="10"/>
        <v>26092.452</v>
      </c>
      <c r="H54" s="15">
        <f t="shared" si="11"/>
        <v>-23884</v>
      </c>
      <c r="I54" s="46" t="s">
        <v>86</v>
      </c>
      <c r="J54" s="47" t="s">
        <v>87</v>
      </c>
      <c r="K54" s="46">
        <v>-23884</v>
      </c>
      <c r="L54" s="46" t="s">
        <v>88</v>
      </c>
      <c r="M54" s="47" t="s">
        <v>89</v>
      </c>
      <c r="N54" s="47"/>
      <c r="O54" s="48" t="s">
        <v>90</v>
      </c>
      <c r="P54" s="48" t="s">
        <v>91</v>
      </c>
    </row>
    <row r="55" spans="1:16" ht="12.75" customHeight="1" thickBot="1" x14ac:dyDescent="0.25">
      <c r="A55" s="15" t="str">
        <f t="shared" si="6"/>
        <v> KVBB 19.53 </v>
      </c>
      <c r="B55" s="5" t="str">
        <f t="shared" si="7"/>
        <v>I</v>
      </c>
      <c r="C55" s="15">
        <f t="shared" si="8"/>
        <v>26099.526999999998</v>
      </c>
      <c r="D55" s="13" t="str">
        <f t="shared" si="9"/>
        <v>vis</v>
      </c>
      <c r="E55" s="45">
        <f>VLOOKUP(C55,Active!C$21:E$973,3,FALSE)</f>
        <v>-23875.011764248557</v>
      </c>
      <c r="F55" s="5" t="s">
        <v>83</v>
      </c>
      <c r="G55" s="13" t="str">
        <f t="shared" si="10"/>
        <v>26099.527</v>
      </c>
      <c r="H55" s="15">
        <f t="shared" si="11"/>
        <v>-23875</v>
      </c>
      <c r="I55" s="46" t="s">
        <v>92</v>
      </c>
      <c r="J55" s="47" t="s">
        <v>93</v>
      </c>
      <c r="K55" s="46">
        <v>-23875</v>
      </c>
      <c r="L55" s="46" t="s">
        <v>94</v>
      </c>
      <c r="M55" s="47" t="s">
        <v>89</v>
      </c>
      <c r="N55" s="47"/>
      <c r="O55" s="48" t="s">
        <v>90</v>
      </c>
      <c r="P55" s="48" t="s">
        <v>91</v>
      </c>
    </row>
    <row r="56" spans="1:16" ht="12.75" customHeight="1" thickBot="1" x14ac:dyDescent="0.25">
      <c r="A56" s="15" t="str">
        <f t="shared" si="6"/>
        <v> KVBB 19.53 </v>
      </c>
      <c r="B56" s="5" t="str">
        <f t="shared" si="7"/>
        <v>I</v>
      </c>
      <c r="C56" s="15">
        <f t="shared" si="8"/>
        <v>26146.456999999999</v>
      </c>
      <c r="D56" s="13" t="str">
        <f t="shared" si="9"/>
        <v>vis</v>
      </c>
      <c r="E56" s="45">
        <f>VLOOKUP(C56,Active!C$21:E$973,3,FALSE)</f>
        <v>-23815.001309412019</v>
      </c>
      <c r="F56" s="5" t="s">
        <v>83</v>
      </c>
      <c r="G56" s="13" t="str">
        <f t="shared" si="10"/>
        <v>26146.457</v>
      </c>
      <c r="H56" s="15">
        <f t="shared" si="11"/>
        <v>-23815</v>
      </c>
      <c r="I56" s="46" t="s">
        <v>95</v>
      </c>
      <c r="J56" s="47" t="s">
        <v>96</v>
      </c>
      <c r="K56" s="46">
        <v>-23815</v>
      </c>
      <c r="L56" s="46" t="s">
        <v>97</v>
      </c>
      <c r="M56" s="47" t="s">
        <v>89</v>
      </c>
      <c r="N56" s="47"/>
      <c r="O56" s="48" t="s">
        <v>90</v>
      </c>
      <c r="P56" s="48" t="s">
        <v>91</v>
      </c>
    </row>
    <row r="57" spans="1:16" ht="12.75" customHeight="1" thickBot="1" x14ac:dyDescent="0.25">
      <c r="A57" s="15" t="str">
        <f t="shared" si="6"/>
        <v> KVBB 19.53 </v>
      </c>
      <c r="B57" s="5" t="str">
        <f t="shared" si="7"/>
        <v>I</v>
      </c>
      <c r="C57" s="15">
        <f t="shared" si="8"/>
        <v>26218.366999999998</v>
      </c>
      <c r="D57" s="13" t="str">
        <f t="shared" si="9"/>
        <v>vis</v>
      </c>
      <c r="E57" s="45">
        <f>VLOOKUP(C57,Active!C$21:E$973,3,FALSE)</f>
        <v>-23723.048362314308</v>
      </c>
      <c r="F57" s="5" t="s">
        <v>83</v>
      </c>
      <c r="G57" s="13" t="str">
        <f t="shared" si="10"/>
        <v>26218.367</v>
      </c>
      <c r="H57" s="15">
        <f t="shared" si="11"/>
        <v>-23723</v>
      </c>
      <c r="I57" s="46" t="s">
        <v>98</v>
      </c>
      <c r="J57" s="47" t="s">
        <v>99</v>
      </c>
      <c r="K57" s="46">
        <v>-23723</v>
      </c>
      <c r="L57" s="46" t="s">
        <v>100</v>
      </c>
      <c r="M57" s="47" t="s">
        <v>89</v>
      </c>
      <c r="N57" s="47"/>
      <c r="O57" s="48" t="s">
        <v>90</v>
      </c>
      <c r="P57" s="48" t="s">
        <v>91</v>
      </c>
    </row>
    <row r="58" spans="1:16" ht="12.75" customHeight="1" thickBot="1" x14ac:dyDescent="0.25">
      <c r="A58" s="15" t="str">
        <f t="shared" si="6"/>
        <v> KVBB 19.53 </v>
      </c>
      <c r="B58" s="5" t="str">
        <f t="shared" si="7"/>
        <v>I</v>
      </c>
      <c r="C58" s="15">
        <f t="shared" si="8"/>
        <v>26440.448</v>
      </c>
      <c r="D58" s="13" t="str">
        <f t="shared" si="9"/>
        <v>vis</v>
      </c>
      <c r="E58" s="45">
        <f>VLOOKUP(C58,Active!C$21:E$973,3,FALSE)</f>
        <v>-23439.068353353017</v>
      </c>
      <c r="F58" s="5" t="s">
        <v>83</v>
      </c>
      <c r="G58" s="13" t="str">
        <f t="shared" si="10"/>
        <v>26440.448</v>
      </c>
      <c r="H58" s="15">
        <f t="shared" si="11"/>
        <v>-23439</v>
      </c>
      <c r="I58" s="46" t="s">
        <v>101</v>
      </c>
      <c r="J58" s="47" t="s">
        <v>102</v>
      </c>
      <c r="K58" s="46">
        <v>-23439</v>
      </c>
      <c r="L58" s="46" t="s">
        <v>103</v>
      </c>
      <c r="M58" s="47" t="s">
        <v>89</v>
      </c>
      <c r="N58" s="47"/>
      <c r="O58" s="48" t="s">
        <v>90</v>
      </c>
      <c r="P58" s="48" t="s">
        <v>91</v>
      </c>
    </row>
    <row r="59" spans="1:16" ht="12.75" customHeight="1" thickBot="1" x14ac:dyDescent="0.25">
      <c r="A59" s="15" t="str">
        <f t="shared" si="6"/>
        <v> KVBB 19.53 </v>
      </c>
      <c r="B59" s="5" t="str">
        <f t="shared" si="7"/>
        <v>I</v>
      </c>
      <c r="C59" s="15">
        <f t="shared" si="8"/>
        <v>26512.466</v>
      </c>
      <c r="D59" s="13" t="str">
        <f t="shared" si="9"/>
        <v>vis</v>
      </c>
      <c r="E59" s="45">
        <f>VLOOKUP(C59,Active!C$21:E$973,3,FALSE)</f>
        <v>-23346.977304207103</v>
      </c>
      <c r="F59" s="5" t="s">
        <v>83</v>
      </c>
      <c r="G59" s="13" t="str">
        <f t="shared" si="10"/>
        <v>26512.466</v>
      </c>
      <c r="H59" s="15">
        <f t="shared" si="11"/>
        <v>-23347</v>
      </c>
      <c r="I59" s="46" t="s">
        <v>104</v>
      </c>
      <c r="J59" s="47" t="s">
        <v>105</v>
      </c>
      <c r="K59" s="46">
        <v>-23347</v>
      </c>
      <c r="L59" s="46" t="s">
        <v>106</v>
      </c>
      <c r="M59" s="47" t="s">
        <v>89</v>
      </c>
      <c r="N59" s="47"/>
      <c r="O59" s="48" t="s">
        <v>90</v>
      </c>
      <c r="P59" s="48" t="s">
        <v>91</v>
      </c>
    </row>
    <row r="60" spans="1:16" ht="12.75" customHeight="1" thickBot="1" x14ac:dyDescent="0.25">
      <c r="A60" s="15" t="str">
        <f t="shared" si="6"/>
        <v> KVBB 19.53 </v>
      </c>
      <c r="B60" s="5" t="str">
        <f t="shared" si="7"/>
        <v>I</v>
      </c>
      <c r="C60" s="15">
        <f t="shared" si="8"/>
        <v>26770.543000000001</v>
      </c>
      <c r="D60" s="13" t="str">
        <f t="shared" si="9"/>
        <v>vis</v>
      </c>
      <c r="E60" s="45">
        <f>VLOOKUP(C60,Active!C$21:E$973,3,FALSE)</f>
        <v>-23016.968394067546</v>
      </c>
      <c r="F60" s="5" t="s">
        <v>83</v>
      </c>
      <c r="G60" s="13" t="str">
        <f t="shared" si="10"/>
        <v>26770.543</v>
      </c>
      <c r="H60" s="15">
        <f t="shared" si="11"/>
        <v>-23017</v>
      </c>
      <c r="I60" s="46" t="s">
        <v>107</v>
      </c>
      <c r="J60" s="47" t="s">
        <v>108</v>
      </c>
      <c r="K60" s="46">
        <v>-23017</v>
      </c>
      <c r="L60" s="46" t="s">
        <v>109</v>
      </c>
      <c r="M60" s="47" t="s">
        <v>89</v>
      </c>
      <c r="N60" s="47"/>
      <c r="O60" s="48" t="s">
        <v>90</v>
      </c>
      <c r="P60" s="48" t="s">
        <v>91</v>
      </c>
    </row>
    <row r="61" spans="1:16" ht="12.75" customHeight="1" thickBot="1" x14ac:dyDescent="0.25">
      <c r="A61" s="15" t="str">
        <f t="shared" si="6"/>
        <v> KVBB 19.53 </v>
      </c>
      <c r="B61" s="5" t="str">
        <f t="shared" si="7"/>
        <v>I</v>
      </c>
      <c r="C61" s="15">
        <f t="shared" si="8"/>
        <v>26842.476999999999</v>
      </c>
      <c r="D61" s="13" t="str">
        <f t="shared" si="9"/>
        <v>vis</v>
      </c>
      <c r="E61" s="45">
        <f>VLOOKUP(C61,Active!C$21:E$973,3,FALSE)</f>
        <v>-22924.984757625796</v>
      </c>
      <c r="F61" s="5" t="s">
        <v>83</v>
      </c>
      <c r="G61" s="13" t="str">
        <f t="shared" si="10"/>
        <v>26842.477</v>
      </c>
      <c r="H61" s="15">
        <f t="shared" si="11"/>
        <v>-22925</v>
      </c>
      <c r="I61" s="46" t="s">
        <v>110</v>
      </c>
      <c r="J61" s="47" t="s">
        <v>111</v>
      </c>
      <c r="K61" s="46">
        <v>-22925</v>
      </c>
      <c r="L61" s="46" t="s">
        <v>112</v>
      </c>
      <c r="M61" s="47" t="s">
        <v>89</v>
      </c>
      <c r="N61" s="47"/>
      <c r="O61" s="48" t="s">
        <v>90</v>
      </c>
      <c r="P61" s="48" t="s">
        <v>91</v>
      </c>
    </row>
    <row r="62" spans="1:16" ht="12.75" customHeight="1" thickBot="1" x14ac:dyDescent="0.25">
      <c r="A62" s="15" t="str">
        <f t="shared" si="6"/>
        <v> KVBB 19.53 </v>
      </c>
      <c r="B62" s="5" t="str">
        <f t="shared" si="7"/>
        <v>I</v>
      </c>
      <c r="C62" s="15">
        <f t="shared" si="8"/>
        <v>26853.420999999998</v>
      </c>
      <c r="D62" s="13" t="str">
        <f t="shared" si="9"/>
        <v>vis</v>
      </c>
      <c r="E62" s="45">
        <f>VLOOKUP(C62,Active!C$21:E$973,3,FALSE)</f>
        <v>-22910.990416740839</v>
      </c>
      <c r="F62" s="5" t="s">
        <v>83</v>
      </c>
      <c r="G62" s="13" t="str">
        <f t="shared" si="10"/>
        <v>26853.421</v>
      </c>
      <c r="H62" s="15">
        <f t="shared" si="11"/>
        <v>-22911</v>
      </c>
      <c r="I62" s="46" t="s">
        <v>113</v>
      </c>
      <c r="J62" s="47" t="s">
        <v>114</v>
      </c>
      <c r="K62" s="46">
        <v>-22911</v>
      </c>
      <c r="L62" s="46" t="s">
        <v>115</v>
      </c>
      <c r="M62" s="47" t="s">
        <v>89</v>
      </c>
      <c r="N62" s="47"/>
      <c r="O62" s="48" t="s">
        <v>90</v>
      </c>
      <c r="P62" s="48" t="s">
        <v>91</v>
      </c>
    </row>
    <row r="63" spans="1:16" ht="12.75" customHeight="1" thickBot="1" x14ac:dyDescent="0.25">
      <c r="A63" s="15" t="str">
        <f t="shared" si="6"/>
        <v> KVBB 19.53 </v>
      </c>
      <c r="B63" s="5" t="str">
        <f t="shared" si="7"/>
        <v>I</v>
      </c>
      <c r="C63" s="15">
        <f t="shared" si="8"/>
        <v>27711.311000000002</v>
      </c>
      <c r="D63" s="13" t="str">
        <f t="shared" si="9"/>
        <v>vis</v>
      </c>
      <c r="E63" s="45">
        <f>VLOOKUP(C63,Active!C$21:E$973,3,FALSE)</f>
        <v>-21813.987026591294</v>
      </c>
      <c r="F63" s="5" t="s">
        <v>83</v>
      </c>
      <c r="G63" s="13" t="str">
        <f t="shared" si="10"/>
        <v>27711.311</v>
      </c>
      <c r="H63" s="15">
        <f t="shared" si="11"/>
        <v>-21814</v>
      </c>
      <c r="I63" s="46" t="s">
        <v>116</v>
      </c>
      <c r="J63" s="47" t="s">
        <v>117</v>
      </c>
      <c r="K63" s="46">
        <v>-21814</v>
      </c>
      <c r="L63" s="46" t="s">
        <v>118</v>
      </c>
      <c r="M63" s="47" t="s">
        <v>89</v>
      </c>
      <c r="N63" s="47"/>
      <c r="O63" s="48" t="s">
        <v>90</v>
      </c>
      <c r="P63" s="48" t="s">
        <v>91</v>
      </c>
    </row>
    <row r="64" spans="1:16" ht="12.75" customHeight="1" thickBot="1" x14ac:dyDescent="0.25">
      <c r="A64" s="15" t="str">
        <f t="shared" si="6"/>
        <v> BRNO 28 </v>
      </c>
      <c r="B64" s="5" t="str">
        <f t="shared" si="7"/>
        <v>I</v>
      </c>
      <c r="C64" s="15">
        <f t="shared" si="8"/>
        <v>46535.555999999997</v>
      </c>
      <c r="D64" s="13" t="str">
        <f t="shared" si="9"/>
        <v>vis</v>
      </c>
      <c r="E64" s="45">
        <f>VLOOKUP(C64,Active!C$21:E$973,3,FALSE)</f>
        <v>2257.0017738440788</v>
      </c>
      <c r="F64" s="5" t="s">
        <v>83</v>
      </c>
      <c r="G64" s="13" t="str">
        <f t="shared" si="10"/>
        <v>46535.556</v>
      </c>
      <c r="H64" s="15">
        <f t="shared" si="11"/>
        <v>2257</v>
      </c>
      <c r="I64" s="46" t="s">
        <v>207</v>
      </c>
      <c r="J64" s="47" t="s">
        <v>208</v>
      </c>
      <c r="K64" s="46">
        <v>2257</v>
      </c>
      <c r="L64" s="46" t="s">
        <v>209</v>
      </c>
      <c r="M64" s="47" t="s">
        <v>122</v>
      </c>
      <c r="N64" s="47"/>
      <c r="O64" s="48" t="s">
        <v>210</v>
      </c>
      <c r="P64" s="48" t="s">
        <v>211</v>
      </c>
    </row>
    <row r="65" spans="1:16" ht="12.75" customHeight="1" thickBot="1" x14ac:dyDescent="0.25">
      <c r="A65" s="15" t="str">
        <f t="shared" si="6"/>
        <v> BRNO 30 </v>
      </c>
      <c r="B65" s="5" t="str">
        <f t="shared" si="7"/>
        <v>I</v>
      </c>
      <c r="C65" s="15">
        <f t="shared" si="8"/>
        <v>47357.455999999998</v>
      </c>
      <c r="D65" s="13" t="str">
        <f t="shared" si="9"/>
        <v>vis</v>
      </c>
      <c r="E65" s="45">
        <f>VLOOKUP(C65,Active!C$21:E$973,3,FALSE)</f>
        <v>3307.9839351513647</v>
      </c>
      <c r="F65" s="5" t="s">
        <v>83</v>
      </c>
      <c r="G65" s="13" t="str">
        <f t="shared" si="10"/>
        <v>47357.456</v>
      </c>
      <c r="H65" s="15">
        <f t="shared" si="11"/>
        <v>3308</v>
      </c>
      <c r="I65" s="46" t="s">
        <v>215</v>
      </c>
      <c r="J65" s="47" t="s">
        <v>216</v>
      </c>
      <c r="K65" s="46">
        <v>3308</v>
      </c>
      <c r="L65" s="46" t="s">
        <v>205</v>
      </c>
      <c r="M65" s="47" t="s">
        <v>122</v>
      </c>
      <c r="N65" s="47"/>
      <c r="O65" s="48" t="s">
        <v>217</v>
      </c>
      <c r="P65" s="48" t="s">
        <v>218</v>
      </c>
    </row>
    <row r="66" spans="1:16" ht="12.75" customHeight="1" thickBot="1" x14ac:dyDescent="0.25">
      <c r="A66" s="15" t="str">
        <f t="shared" si="6"/>
        <v> BBS 115 </v>
      </c>
      <c r="B66" s="5" t="str">
        <f t="shared" si="7"/>
        <v>I</v>
      </c>
      <c r="C66" s="15">
        <f t="shared" si="8"/>
        <v>50597.406600000002</v>
      </c>
      <c r="D66" s="13" t="str">
        <f t="shared" si="9"/>
        <v>vis</v>
      </c>
      <c r="E66" s="45">
        <f>VLOOKUP(C66,Active!C$21:E$973,3,FALSE)</f>
        <v>7450.9822124561906</v>
      </c>
      <c r="F66" s="5" t="s">
        <v>83</v>
      </c>
      <c r="G66" s="13" t="str">
        <f t="shared" si="10"/>
        <v>50597.4066</v>
      </c>
      <c r="H66" s="15">
        <f t="shared" si="11"/>
        <v>7451</v>
      </c>
      <c r="I66" s="46" t="s">
        <v>226</v>
      </c>
      <c r="J66" s="47" t="s">
        <v>227</v>
      </c>
      <c r="K66" s="46">
        <v>7451</v>
      </c>
      <c r="L66" s="46" t="s">
        <v>228</v>
      </c>
      <c r="M66" s="47" t="s">
        <v>222</v>
      </c>
      <c r="N66" s="47" t="s">
        <v>223</v>
      </c>
      <c r="O66" s="48" t="s">
        <v>224</v>
      </c>
      <c r="P66" s="48" t="s">
        <v>225</v>
      </c>
    </row>
    <row r="67" spans="1:16" ht="12.75" customHeight="1" thickBot="1" x14ac:dyDescent="0.25">
      <c r="A67" s="15" t="str">
        <f t="shared" si="6"/>
        <v> BBS 125 </v>
      </c>
      <c r="B67" s="5" t="str">
        <f t="shared" si="7"/>
        <v>I</v>
      </c>
      <c r="C67" s="15">
        <f t="shared" si="8"/>
        <v>52082.476999999999</v>
      </c>
      <c r="D67" s="13" t="str">
        <f t="shared" si="9"/>
        <v>vis</v>
      </c>
      <c r="E67" s="45">
        <f>VLOOKUP(C67,Active!C$21:E$973,3,FALSE)</f>
        <v>9349.9753973758525</v>
      </c>
      <c r="F67" s="5" t="s">
        <v>83</v>
      </c>
      <c r="G67" s="13" t="str">
        <f t="shared" si="10"/>
        <v>52082.4770</v>
      </c>
      <c r="H67" s="15">
        <f t="shared" si="11"/>
        <v>9350</v>
      </c>
      <c r="I67" s="46" t="s">
        <v>252</v>
      </c>
      <c r="J67" s="47" t="s">
        <v>253</v>
      </c>
      <c r="K67" s="46">
        <v>9350</v>
      </c>
      <c r="L67" s="46" t="s">
        <v>254</v>
      </c>
      <c r="M67" s="47" t="s">
        <v>222</v>
      </c>
      <c r="N67" s="47" t="s">
        <v>223</v>
      </c>
      <c r="O67" s="48" t="s">
        <v>232</v>
      </c>
      <c r="P67" s="48" t="s">
        <v>255</v>
      </c>
    </row>
    <row r="68" spans="1:16" ht="12.75" customHeight="1" thickBot="1" x14ac:dyDescent="0.25">
      <c r="A68" s="15" t="str">
        <f t="shared" si="6"/>
        <v>BAVM 193 </v>
      </c>
      <c r="B68" s="5" t="str">
        <f t="shared" si="7"/>
        <v>I</v>
      </c>
      <c r="C68" s="15">
        <f t="shared" si="8"/>
        <v>54368.344899999996</v>
      </c>
      <c r="D68" s="13" t="str">
        <f t="shared" si="9"/>
        <v>vis</v>
      </c>
      <c r="E68" s="45">
        <f>VLOOKUP(C68,Active!C$21:E$973,3,FALSE)</f>
        <v>12272.966498489053</v>
      </c>
      <c r="F68" s="5" t="s">
        <v>83</v>
      </c>
      <c r="G68" s="13" t="str">
        <f t="shared" si="10"/>
        <v>54368.3449</v>
      </c>
      <c r="H68" s="15">
        <f t="shared" si="11"/>
        <v>12273</v>
      </c>
      <c r="I68" s="46" t="s">
        <v>288</v>
      </c>
      <c r="J68" s="47" t="s">
        <v>289</v>
      </c>
      <c r="K68" s="46" t="s">
        <v>290</v>
      </c>
      <c r="L68" s="46" t="s">
        <v>291</v>
      </c>
      <c r="M68" s="47" t="s">
        <v>248</v>
      </c>
      <c r="N68" s="47" t="s">
        <v>280</v>
      </c>
      <c r="O68" s="48" t="s">
        <v>286</v>
      </c>
      <c r="P68" s="49" t="s">
        <v>292</v>
      </c>
    </row>
    <row r="69" spans="1:16" x14ac:dyDescent="0.2">
      <c r="B69" s="5"/>
      <c r="E69" s="45"/>
      <c r="F69" s="5"/>
    </row>
    <row r="70" spans="1:16" x14ac:dyDescent="0.2">
      <c r="B70" s="5"/>
      <c r="E70" s="45"/>
      <c r="F70" s="5"/>
    </row>
    <row r="71" spans="1:16" x14ac:dyDescent="0.2">
      <c r="B71" s="5"/>
      <c r="E71" s="4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</sheetData>
  <phoneticPr fontId="8" type="noConversion"/>
  <hyperlinks>
    <hyperlink ref="P39" r:id="rId1" display="http://www.konkoly.hu/cgi-bin/IBVS?5027"/>
    <hyperlink ref="P40" r:id="rId2" display="http://www.konkoly.hu/cgi-bin/IBVS?5027"/>
    <hyperlink ref="P41" r:id="rId3" display="http://www.konkoly.hu/cgi-bin/IBVS?5263"/>
    <hyperlink ref="P42" r:id="rId4" display="http://www.konkoly.hu/cgi-bin/IBVS?5263"/>
    <hyperlink ref="P43" r:id="rId5" display="http://var.astro.cz/oejv/issues/oejv0074.pdf"/>
    <hyperlink ref="P44" r:id="rId6" display="http://www.konkoly.hu/cgi-bin/IBVS?5677"/>
    <hyperlink ref="P45" r:id="rId7" display="http://var.astro.cz/oejv/issues/oejv0003.pdf"/>
    <hyperlink ref="P46" r:id="rId8" display="http://var.astro.cz/oejv/issues/oejv0003.pdf"/>
    <hyperlink ref="P47" r:id="rId9" display="http://www.bav-astro.de/sfs/BAVM_link.php?BAVMnr=178"/>
    <hyperlink ref="P48" r:id="rId10" display="http://www.bav-astro.de/sfs/BAVM_link.php?BAVMnr=178"/>
    <hyperlink ref="P49" r:id="rId11" display="http://www.bav-astro.de/sfs/BAVM_link.php?BAVMnr=178"/>
    <hyperlink ref="P50" r:id="rId12" display="http://www.bav-astro.de/sfs/BAVM_link.php?BAVMnr=186"/>
    <hyperlink ref="P68" r:id="rId13" display="http://www.bav-astro.de/sfs/BAVM_link.php?BAVMnr=193"/>
    <hyperlink ref="P51" r:id="rId14" display="http://www.bav-astro.de/sfs/BAVM_link.php?BAVMnr=220"/>
    <hyperlink ref="P52" r:id="rId15" display="http://www.bav-astro.de/sfs/BAVM_link.php?BAVMnr=220"/>
    <hyperlink ref="P53" r:id="rId16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2024-02-12T04:53:45Z</dcterms:modified>
</cp:coreProperties>
</file>