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4EC968A2-69A4-4DBD-AE93-BA116D50927D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30" i="1" l="1"/>
  <c r="F30" i="1" s="1"/>
  <c r="G30" i="1" s="1"/>
  <c r="H30" i="1" s="1"/>
  <c r="Q30" i="1"/>
  <c r="C30" i="1"/>
  <c r="A30" i="1"/>
  <c r="E21" i="1"/>
  <c r="F21" i="1" s="1"/>
  <c r="G21" i="1" s="1"/>
  <c r="I21" i="1" s="1"/>
  <c r="E22" i="1"/>
  <c r="E12" i="2" s="1"/>
  <c r="E23" i="1"/>
  <c r="E13" i="2" s="1"/>
  <c r="E24" i="1"/>
  <c r="F24" i="1" s="1"/>
  <c r="G24" i="1" s="1"/>
  <c r="I24" i="1" s="1"/>
  <c r="E25" i="1"/>
  <c r="F25" i="1" s="1"/>
  <c r="G25" i="1" s="1"/>
  <c r="I25" i="1" s="1"/>
  <c r="E26" i="1"/>
  <c r="E16" i="2" s="1"/>
  <c r="E27" i="1"/>
  <c r="E17" i="2" s="1"/>
  <c r="E28" i="1"/>
  <c r="F28" i="1" s="1"/>
  <c r="G28" i="1" s="1"/>
  <c r="I28" i="1" s="1"/>
  <c r="E29" i="1"/>
  <c r="F29" i="1" s="1"/>
  <c r="G29" i="1" s="1"/>
  <c r="I29" i="1" s="1"/>
  <c r="E9" i="1"/>
  <c r="D9" i="1"/>
  <c r="Q21" i="1"/>
  <c r="Q22" i="1"/>
  <c r="Q23" i="1"/>
  <c r="Q24" i="1"/>
  <c r="Q25" i="1"/>
  <c r="Q26" i="1"/>
  <c r="Q27" i="1"/>
  <c r="Q28" i="1"/>
  <c r="Q29" i="1"/>
  <c r="G19" i="2"/>
  <c r="C19" i="2"/>
  <c r="E19" i="2"/>
  <c r="G18" i="2"/>
  <c r="C18" i="2"/>
  <c r="E18" i="2"/>
  <c r="G17" i="2"/>
  <c r="C17" i="2"/>
  <c r="G16" i="2"/>
  <c r="C16" i="2"/>
  <c r="G15" i="2"/>
  <c r="C15" i="2"/>
  <c r="E15" i="2"/>
  <c r="G14" i="2"/>
  <c r="C14" i="2"/>
  <c r="E14" i="2"/>
  <c r="G13" i="2"/>
  <c r="C13" i="2"/>
  <c r="G12" i="2"/>
  <c r="C12" i="2"/>
  <c r="G11" i="2"/>
  <c r="C11" i="2"/>
  <c r="E11" i="2"/>
  <c r="H19" i="2"/>
  <c r="D19" i="2"/>
  <c r="B19" i="2"/>
  <c r="A19" i="2"/>
  <c r="H18" i="2"/>
  <c r="D18" i="2"/>
  <c r="B18" i="2"/>
  <c r="A18" i="2"/>
  <c r="H17" i="2"/>
  <c r="D17" i="2"/>
  <c r="B17" i="2"/>
  <c r="A17" i="2"/>
  <c r="H16" i="2"/>
  <c r="D16" i="2"/>
  <c r="B16" i="2"/>
  <c r="A16" i="2"/>
  <c r="H15" i="2"/>
  <c r="D15" i="2"/>
  <c r="B15" i="2"/>
  <c r="A15" i="2"/>
  <c r="H14" i="2"/>
  <c r="D14" i="2"/>
  <c r="B14" i="2"/>
  <c r="A14" i="2"/>
  <c r="H13" i="2"/>
  <c r="D13" i="2"/>
  <c r="B13" i="2"/>
  <c r="A13" i="2"/>
  <c r="H12" i="2"/>
  <c r="D12" i="2"/>
  <c r="B12" i="2"/>
  <c r="A12" i="2"/>
  <c r="H11" i="2"/>
  <c r="D11" i="2"/>
  <c r="B11" i="2"/>
  <c r="A11" i="2"/>
  <c r="F16" i="1"/>
  <c r="C17" i="1"/>
  <c r="F27" i="1" l="1"/>
  <c r="G27" i="1" s="1"/>
  <c r="I27" i="1" s="1"/>
  <c r="F23" i="1"/>
  <c r="G23" i="1" s="1"/>
  <c r="I23" i="1" s="1"/>
  <c r="F26" i="1"/>
  <c r="G26" i="1" s="1"/>
  <c r="I26" i="1" s="1"/>
  <c r="F22" i="1"/>
  <c r="G22" i="1" s="1"/>
  <c r="F17" i="1"/>
  <c r="C12" i="1"/>
  <c r="C11" i="1"/>
  <c r="O30" i="1" l="1"/>
  <c r="O23" i="1"/>
  <c r="O29" i="1"/>
  <c r="C15" i="1"/>
  <c r="C18" i="1" s="1"/>
  <c r="O21" i="1"/>
  <c r="O22" i="1"/>
  <c r="O25" i="1"/>
  <c r="O24" i="1"/>
  <c r="O28" i="1"/>
  <c r="O27" i="1"/>
  <c r="O26" i="1"/>
  <c r="C16" i="1"/>
  <c r="D18" i="1" s="1"/>
  <c r="I22" i="1"/>
  <c r="F18" i="1" l="1"/>
  <c r="F19" i="1" s="1"/>
</calcChain>
</file>

<file path=xl/sharedStrings.xml><?xml version="1.0" encoding="utf-8"?>
<sst xmlns="http://schemas.openxmlformats.org/spreadsheetml/2006/main" count="150" uniqueCount="82">
  <si>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</si>
  <si>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</si>
  <si>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</si>
  <si>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</si>
  <si>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</si>
  <si>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</si>
  <si>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</si>
  <si>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</si>
  <si>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</si>
  <si>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</si>
  <si>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</si>
  <si>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</si>
  <si>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</si>
  <si>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</si>
  <si>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</si>
  <si>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</si>
  <si>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</si>
  <si>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</si>
  <si>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</si>
  <si>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</si>
  <si>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</si>
  <si>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</si>
  <si>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</si>
  <si>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</si>
  <si>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</si>
  <si>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</si>
  <si>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</si>
  <si>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</si>
  <si>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</si>
  <si>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</si>
  <si>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</si>
  <si>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</si>
  <si>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</si>
  <si>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</si>
  <si>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</si>
  <si>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</si>
  <si>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</si>
  <si>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</si>
  <si>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</si>
  <si>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</si>
  <si>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</si>
  <si>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</si>
  <si>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</si>
  <si>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</si>
  <si>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</si>
  <si>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</si>
  <si>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</si>
  <si>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</si>
  <si>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F </t>
  </si>
  <si>
    <t>HV Her</t>
  </si>
  <si>
    <t>EA</t>
  </si>
  <si>
    <t>HV Her / GSC 27589.31</t>
  </si>
  <si>
    <t>2427589.39 </t>
  </si>
  <si>
    <t> 31.05.1934 21:21 </t>
  </si>
  <si>
    <t> 0.08 </t>
  </si>
  <si>
    <t>P </t>
  </si>
  <si>
    <t> C.Hoffmeister </t>
  </si>
  <si>
    <t> KVBB 24.23 </t>
  </si>
  <si>
    <t>2428305.53 </t>
  </si>
  <si>
    <t> 17.05.1936 00:43 </t>
  </si>
  <si>
    <t> -0.04 </t>
  </si>
  <si>
    <t>2428315.41 </t>
  </si>
  <si>
    <t> 26.05.1936 21:50 </t>
  </si>
  <si>
    <t> 0.03 </t>
  </si>
  <si>
    <t>2428982.55 </t>
  </si>
  <si>
    <t> 25.03.1938 01:12 </t>
  </si>
  <si>
    <t>2429046.39 </t>
  </si>
  <si>
    <t> 27.05.1938 21:21 </t>
  </si>
  <si>
    <t>2429728.31 </t>
  </si>
  <si>
    <t> 08.04.1940 19:26 </t>
  </si>
  <si>
    <t>2429777.34 </t>
  </si>
  <si>
    <t> 27.05.1940 20:09 </t>
  </si>
  <si>
    <t> -0.00 </t>
  </si>
  <si>
    <t>V </t>
  </si>
  <si>
    <t>2429816.58 </t>
  </si>
  <si>
    <t> 06.07.1940 01:55 </t>
  </si>
  <si>
    <t> -0.01 </t>
  </si>
  <si>
    <t>2429880.37 </t>
  </si>
  <si>
    <t> 07.09.1940 20:52 </t>
  </si>
  <si>
    <t> 0.00 </t>
  </si>
  <si>
    <t>I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</si>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</sst>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0" fillId="0" borderId="2" applyNumberFormat="0" applyFont="0" applyFill="0" applyAlignment="0" applyProtection="0"/>
  </cellStyleXfs>
  <cellXfs count="5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5" fillId="0" borderId="1" xfId="0" applyFont="1" applyBorder="1" applyAlignment="1">
      <alignment vertical="center"/>
    </xf>
    <xf numFmtId="0" fontId="16" fillId="0" borderId="1" xfId="0" applyNumberFormat="1" applyFont="1" applyBorder="1" applyAlignment="1">
      <alignment horizontal="left" vertical="center"/>
    </xf>
    <xf numFmtId="0" fontId="15" fillId="0" borderId="1" xfId="0" applyNumberFormat="1" applyFont="1" applyBorder="1" applyAlignment="1">
      <alignment horizontal="left" vertical="center"/>
    </xf>
    <xf numFmtId="0" fontId="15" fillId="2" borderId="1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5" fillId="0" borderId="1" xfId="0" applyFont="1" applyFill="1" applyBorder="1" applyAlignment="1">
      <alignment horizontal="left" vertical="center"/>
    </xf>
    <xf numFmtId="0" fontId="17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8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3" borderId="12" xfId="0" applyFont="1" applyFill="1" applyBorder="1" applyAlignment="1">
      <alignment horizontal="left" vertical="top" wrapText="1" indent="1"/>
    </xf>
    <xf numFmtId="0" fontId="5" fillId="3" borderId="12" xfId="0" applyFont="1" applyFill="1" applyBorder="1" applyAlignment="1">
      <alignment horizontal="center" vertical="top" wrapText="1"/>
    </xf>
    <xf numFmtId="0" fontId="5" fillId="3" borderId="12" xfId="0" applyFont="1" applyFill="1" applyBorder="1" applyAlignment="1">
      <alignment horizontal="right" vertical="top" wrapText="1"/>
    </xf>
    <xf numFmtId="0" fontId="6" fillId="4" borderId="1" xfId="0" applyFont="1" applyFill="1" applyBorder="1" applyAlignment="1">
      <alignment horizontal="left" vertical="center"/>
    </xf>
    <xf numFmtId="0" fontId="19" fillId="0" borderId="0" xfId="0" applyFont="1" applyAlignment="1"/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0" fillId="0" borderId="0" xfId="0" applyAlignment="1">
      <alignment horizontal="righ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HV Her - O-C Diagr.</a:t>
            </a:r>
          </a:p>
        </c:rich>
      </c:tx>
      <c:layout>
        <c:manualLayout>
          <c:xMode val="edge"/>
          <c:yMode val="edge"/>
          <c:x val="0.38796992481203008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85714285714286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-2595</c:v>
                </c:pt>
                <c:pt idx="1">
                  <c:v>-2449</c:v>
                </c:pt>
                <c:pt idx="2">
                  <c:v>-2447</c:v>
                </c:pt>
                <c:pt idx="3">
                  <c:v>-2311</c:v>
                </c:pt>
                <c:pt idx="4">
                  <c:v>-2298</c:v>
                </c:pt>
                <c:pt idx="5">
                  <c:v>-2159</c:v>
                </c:pt>
                <c:pt idx="6">
                  <c:v>-2149</c:v>
                </c:pt>
                <c:pt idx="7">
                  <c:v>-2141</c:v>
                </c:pt>
                <c:pt idx="8">
                  <c:v>-2128</c:v>
                </c:pt>
                <c:pt idx="9">
                  <c:v>0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FE4-4C1D-93DE-FD4D6DAC55D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-2595</c:v>
                </c:pt>
                <c:pt idx="1">
                  <c:v>-2449</c:v>
                </c:pt>
                <c:pt idx="2">
                  <c:v>-2447</c:v>
                </c:pt>
                <c:pt idx="3">
                  <c:v>-2311</c:v>
                </c:pt>
                <c:pt idx="4">
                  <c:v>-2298</c:v>
                </c:pt>
                <c:pt idx="5">
                  <c:v>-2159</c:v>
                </c:pt>
                <c:pt idx="6">
                  <c:v>-2149</c:v>
                </c:pt>
                <c:pt idx="7">
                  <c:v>-2141</c:v>
                </c:pt>
                <c:pt idx="8">
                  <c:v>-2128</c:v>
                </c:pt>
                <c:pt idx="9">
                  <c:v>0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0">
                  <c:v>-0.14041999999608379</c:v>
                </c:pt>
                <c:pt idx="1">
                  <c:v>-0.21276399999624118</c:v>
                </c:pt>
                <c:pt idx="2">
                  <c:v>-0.14389199999641278</c:v>
                </c:pt>
                <c:pt idx="3">
                  <c:v>-0.16059599999789498</c:v>
                </c:pt>
                <c:pt idx="4">
                  <c:v>-9.2927999998209998E-2</c:v>
                </c:pt>
                <c:pt idx="5">
                  <c:v>-4.6323999995365739E-2</c:v>
                </c:pt>
                <c:pt idx="6">
                  <c:v>-7.1963999998843065E-2</c:v>
                </c:pt>
                <c:pt idx="7">
                  <c:v>-7.6475999994727317E-2</c:v>
                </c:pt>
                <c:pt idx="8">
                  <c:v>-5.880799999795272E-2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FE4-4C1D-93DE-FD4D6DAC55D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-2595</c:v>
                </c:pt>
                <c:pt idx="1">
                  <c:v>-2449</c:v>
                </c:pt>
                <c:pt idx="2">
                  <c:v>-2447</c:v>
                </c:pt>
                <c:pt idx="3">
                  <c:v>-2311</c:v>
                </c:pt>
                <c:pt idx="4">
                  <c:v>-2298</c:v>
                </c:pt>
                <c:pt idx="5">
                  <c:v>-2159</c:v>
                </c:pt>
                <c:pt idx="6">
                  <c:v>-2149</c:v>
                </c:pt>
                <c:pt idx="7">
                  <c:v>-2141</c:v>
                </c:pt>
                <c:pt idx="8">
                  <c:v>-2128</c:v>
                </c:pt>
                <c:pt idx="9">
                  <c:v>0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FE4-4C1D-93DE-FD4D6DAC55D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-2595</c:v>
                </c:pt>
                <c:pt idx="1">
                  <c:v>-2449</c:v>
                </c:pt>
                <c:pt idx="2">
                  <c:v>-2447</c:v>
                </c:pt>
                <c:pt idx="3">
                  <c:v>-2311</c:v>
                </c:pt>
                <c:pt idx="4">
                  <c:v>-2298</c:v>
                </c:pt>
                <c:pt idx="5">
                  <c:v>-2159</c:v>
                </c:pt>
                <c:pt idx="6">
                  <c:v>-2149</c:v>
                </c:pt>
                <c:pt idx="7">
                  <c:v>-2141</c:v>
                </c:pt>
                <c:pt idx="8">
                  <c:v>-2128</c:v>
                </c:pt>
                <c:pt idx="9">
                  <c:v>0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FE4-4C1D-93DE-FD4D6DAC55D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-2595</c:v>
                </c:pt>
                <c:pt idx="1">
                  <c:v>-2449</c:v>
                </c:pt>
                <c:pt idx="2">
                  <c:v>-2447</c:v>
                </c:pt>
                <c:pt idx="3">
                  <c:v>-2311</c:v>
                </c:pt>
                <c:pt idx="4">
                  <c:v>-2298</c:v>
                </c:pt>
                <c:pt idx="5">
                  <c:v>-2159</c:v>
                </c:pt>
                <c:pt idx="6">
                  <c:v>-2149</c:v>
                </c:pt>
                <c:pt idx="7">
                  <c:v>-2141</c:v>
                </c:pt>
                <c:pt idx="8">
                  <c:v>-2128</c:v>
                </c:pt>
                <c:pt idx="9">
                  <c:v>0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FE4-4C1D-93DE-FD4D6DAC55D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-2595</c:v>
                </c:pt>
                <c:pt idx="1">
                  <c:v>-2449</c:v>
                </c:pt>
                <c:pt idx="2">
                  <c:v>-2447</c:v>
                </c:pt>
                <c:pt idx="3">
                  <c:v>-2311</c:v>
                </c:pt>
                <c:pt idx="4">
                  <c:v>-2298</c:v>
                </c:pt>
                <c:pt idx="5">
                  <c:v>-2159</c:v>
                </c:pt>
                <c:pt idx="6">
                  <c:v>-2149</c:v>
                </c:pt>
                <c:pt idx="7">
                  <c:v>-2141</c:v>
                </c:pt>
                <c:pt idx="8">
                  <c:v>-2128</c:v>
                </c:pt>
                <c:pt idx="9">
                  <c:v>0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FE4-4C1D-93DE-FD4D6DAC55D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-2595</c:v>
                </c:pt>
                <c:pt idx="1">
                  <c:v>-2449</c:v>
                </c:pt>
                <c:pt idx="2">
                  <c:v>-2447</c:v>
                </c:pt>
                <c:pt idx="3">
                  <c:v>-2311</c:v>
                </c:pt>
                <c:pt idx="4">
                  <c:v>-2298</c:v>
                </c:pt>
                <c:pt idx="5">
                  <c:v>-2159</c:v>
                </c:pt>
                <c:pt idx="6">
                  <c:v>-2149</c:v>
                </c:pt>
                <c:pt idx="7">
                  <c:v>-2141</c:v>
                </c:pt>
                <c:pt idx="8">
                  <c:v>-2128</c:v>
                </c:pt>
                <c:pt idx="9">
                  <c:v>0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FE4-4C1D-93DE-FD4D6DAC55D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-2595</c:v>
                </c:pt>
                <c:pt idx="1">
                  <c:v>-2449</c:v>
                </c:pt>
                <c:pt idx="2">
                  <c:v>-2447</c:v>
                </c:pt>
                <c:pt idx="3">
                  <c:v>-2311</c:v>
                </c:pt>
                <c:pt idx="4">
                  <c:v>-2298</c:v>
                </c:pt>
                <c:pt idx="5">
                  <c:v>-2159</c:v>
                </c:pt>
                <c:pt idx="6">
                  <c:v>-2149</c:v>
                </c:pt>
                <c:pt idx="7">
                  <c:v>-2141</c:v>
                </c:pt>
                <c:pt idx="8">
                  <c:v>-2128</c:v>
                </c:pt>
                <c:pt idx="9">
                  <c:v>0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-0.13107262871024083</c:v>
                </c:pt>
                <c:pt idx="1">
                  <c:v>-0.12258468523952611</c:v>
                </c:pt>
                <c:pt idx="2">
                  <c:v>-0.12246841204129712</c:v>
                </c:pt>
                <c:pt idx="3">
                  <c:v>-0.11456183456172724</c:v>
                </c:pt>
                <c:pt idx="4">
                  <c:v>-0.11380605877323895</c:v>
                </c:pt>
                <c:pt idx="5">
                  <c:v>-0.10572507149632561</c:v>
                </c:pt>
                <c:pt idx="6">
                  <c:v>-0.10514370550518076</c:v>
                </c:pt>
                <c:pt idx="7">
                  <c:v>-0.10467861271226488</c:v>
                </c:pt>
                <c:pt idx="8">
                  <c:v>-0.10392283692377659</c:v>
                </c:pt>
                <c:pt idx="9">
                  <c:v>1.9791845991846371E-2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FE4-4C1D-93DE-FD4D6DAC55DB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-2595</c:v>
                </c:pt>
                <c:pt idx="1">
                  <c:v>-2449</c:v>
                </c:pt>
                <c:pt idx="2">
                  <c:v>-2447</c:v>
                </c:pt>
                <c:pt idx="3">
                  <c:v>-2311</c:v>
                </c:pt>
                <c:pt idx="4">
                  <c:v>-2298</c:v>
                </c:pt>
                <c:pt idx="5">
                  <c:v>-2159</c:v>
                </c:pt>
                <c:pt idx="6">
                  <c:v>-2149</c:v>
                </c:pt>
                <c:pt idx="7">
                  <c:v>-2141</c:v>
                </c:pt>
                <c:pt idx="8">
                  <c:v>-2128</c:v>
                </c:pt>
                <c:pt idx="9">
                  <c:v>0</c:v>
                </c:pt>
              </c:numCache>
            </c:numRef>
          </c:xVal>
          <c:yVal>
            <c:numRef>
              <c:f>Active!$R$21:$R$998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FE4-4C1D-93DE-FD4D6DAC5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9889176"/>
        <c:axId val="1"/>
      </c:scatterChart>
      <c:valAx>
        <c:axId val="7898891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32330827067664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98891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804511278195488"/>
          <c:y val="0.92397937099967764"/>
          <c:w val="0.71428571428571419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17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AF4AB76-9B98-8E51-AD5F-DAF94EC148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39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ht="20.25" x14ac:dyDescent="0.3">
      <c r="A1" s="1" t="s">
        <v>51</v>
      </c>
      <c r="F1" s="50" t="s">
        <v>49</v>
      </c>
      <c r="G1" s="32">
        <v>16.330760000000001</v>
      </c>
      <c r="H1" s="33">
        <v>33.3125</v>
      </c>
      <c r="I1" s="34">
        <v>27589.31</v>
      </c>
      <c r="J1" s="34">
        <v>4.9058999999999999</v>
      </c>
      <c r="K1" s="31" t="s">
        <v>50</v>
      </c>
      <c r="L1" s="33"/>
      <c r="M1" s="34">
        <v>27589.31</v>
      </c>
      <c r="N1" s="34">
        <v>4.9058999999999999</v>
      </c>
      <c r="O1" s="37" t="s">
        <v>50</v>
      </c>
    </row>
    <row r="2" spans="1:15" x14ac:dyDescent="0.2">
      <c r="A2" t="s">
        <v>23</v>
      </c>
      <c r="B2" t="s">
        <v>50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>
        <v>27589.31</v>
      </c>
      <c r="D4" s="28">
        <v>4.9058999999999999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54">
        <v>40319.468999999997</v>
      </c>
      <c r="D7" s="29" t="s">
        <v>81</v>
      </c>
    </row>
    <row r="8" spans="1:15" x14ac:dyDescent="0.2">
      <c r="A8" t="s">
        <v>3</v>
      </c>
      <c r="C8" s="54">
        <v>4.905564</v>
      </c>
      <c r="D8" s="29" t="s">
        <v>81</v>
      </c>
    </row>
    <row r="9" spans="1:15" x14ac:dyDescent="0.2">
      <c r="A9" s="24" t="s">
        <v>32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INTERCEPT(INDIRECT($E$9):G991,INDIRECT($D$9):F991)</f>
        <v>1.9791845991846371E-2</v>
      </c>
      <c r="D11" s="3"/>
      <c r="E11" s="10"/>
    </row>
    <row r="12" spans="1:15" x14ac:dyDescent="0.2">
      <c r="A12" s="10" t="s">
        <v>16</v>
      </c>
      <c r="B12" s="10"/>
      <c r="C12" s="21">
        <f ca="1">SLOPE(INDIRECT($E$9):G991,INDIRECT($D$9):F991)</f>
        <v>5.8136599114484471E-5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</row>
    <row r="15" spans="1:15" x14ac:dyDescent="0.2">
      <c r="A15" s="12" t="s">
        <v>17</v>
      </c>
      <c r="B15" s="10"/>
      <c r="C15" s="13">
        <f ca="1">(C7+C11)+(C8+C12)*INT(MAX(F21:F3532))</f>
        <v>40319.488791845986</v>
      </c>
      <c r="E15" s="14" t="s">
        <v>34</v>
      </c>
      <c r="F15" s="35">
        <v>1</v>
      </c>
    </row>
    <row r="16" spans="1:15" x14ac:dyDescent="0.2">
      <c r="A16" s="16" t="s">
        <v>4</v>
      </c>
      <c r="B16" s="10"/>
      <c r="C16" s="17">
        <f ca="1">+C8+C12</f>
        <v>4.9056221365991144</v>
      </c>
      <c r="E16" s="14" t="s">
        <v>30</v>
      </c>
      <c r="F16" s="36">
        <f ca="1">NOW()+15018.5+$C$5/24</f>
        <v>60352.764514930554</v>
      </c>
    </row>
    <row r="17" spans="1:18" ht="13.5" thickBot="1" x14ac:dyDescent="0.25">
      <c r="A17" s="14" t="s">
        <v>27</v>
      </c>
      <c r="B17" s="10"/>
      <c r="C17" s="10">
        <f>COUNT(C21:C2190)</f>
        <v>10</v>
      </c>
      <c r="E17" s="14" t="s">
        <v>35</v>
      </c>
      <c r="F17" s="15">
        <f ca="1">ROUND(2*(F16-$C$7)/$C$8,0)/2+F15</f>
        <v>4085</v>
      </c>
    </row>
    <row r="18" spans="1:18" ht="14.25" thickTop="1" thickBot="1" x14ac:dyDescent="0.25">
      <c r="A18" s="16" t="s">
        <v>5</v>
      </c>
      <c r="B18" s="10"/>
      <c r="C18" s="19">
        <f ca="1">+C15</f>
        <v>40319.488791845986</v>
      </c>
      <c r="D18" s="20">
        <f ca="1">+C16</f>
        <v>4.9056221365991144</v>
      </c>
      <c r="E18" s="14" t="s">
        <v>36</v>
      </c>
      <c r="F18" s="23">
        <f ca="1">ROUND(2*(F16-$C$15)/$C$16,0)/2+F15</f>
        <v>4084.5</v>
      </c>
    </row>
    <row r="19" spans="1:18" ht="13.5" thickTop="1" x14ac:dyDescent="0.2">
      <c r="E19" s="14" t="s">
        <v>31</v>
      </c>
      <c r="F19" s="18">
        <f ca="1">+$C$15+$C$16*F18-15018.5-$C$5/24</f>
        <v>45338.398242118405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6" t="s">
        <v>33</v>
      </c>
    </row>
    <row r="21" spans="1:18" x14ac:dyDescent="0.2">
      <c r="A21" s="51" t="s">
        <v>57</v>
      </c>
      <c r="B21" s="53" t="s">
        <v>80</v>
      </c>
      <c r="C21" s="52">
        <v>27589.39</v>
      </c>
      <c r="D21" s="52" t="s">
        <v>38</v>
      </c>
      <c r="E21">
        <f>+(C21-C$7)/C$8</f>
        <v>-2595.0286246392866</v>
      </c>
      <c r="F21">
        <f>ROUND(2*E21,0)/2</f>
        <v>-2595</v>
      </c>
      <c r="G21">
        <f>+C21-(C$7+F21*C$8)</f>
        <v>-0.14041999999608379</v>
      </c>
      <c r="I21">
        <f>+G21</f>
        <v>-0.14041999999608379</v>
      </c>
      <c r="O21">
        <f ca="1">+C$11+C$12*$F21</f>
        <v>-0.13107262871024083</v>
      </c>
      <c r="Q21" s="2">
        <f>+C21-15018.5</f>
        <v>12570.89</v>
      </c>
    </row>
    <row r="22" spans="1:18" x14ac:dyDescent="0.2">
      <c r="A22" s="51" t="s">
        <v>57</v>
      </c>
      <c r="B22" s="53" t="s">
        <v>80</v>
      </c>
      <c r="C22" s="52">
        <v>28305.53</v>
      </c>
      <c r="D22" s="52" t="s">
        <v>38</v>
      </c>
      <c r="E22">
        <f>+(C22-C$7)/C$8</f>
        <v>-2449.0433719751691</v>
      </c>
      <c r="F22">
        <f>ROUND(2*E22,0)/2</f>
        <v>-2449</v>
      </c>
      <c r="G22">
        <f>+C22-(C$7+F22*C$8)</f>
        <v>-0.21276399999624118</v>
      </c>
      <c r="I22">
        <f>+G22</f>
        <v>-0.21276399999624118</v>
      </c>
      <c r="O22">
        <f ca="1">+C$11+C$12*$F22</f>
        <v>-0.12258468523952611</v>
      </c>
      <c r="Q22" s="2">
        <f>+C22-15018.5</f>
        <v>13287.029999999999</v>
      </c>
    </row>
    <row r="23" spans="1:18" x14ac:dyDescent="0.2">
      <c r="A23" s="51" t="s">
        <v>57</v>
      </c>
      <c r="B23" s="53" t="s">
        <v>80</v>
      </c>
      <c r="C23" s="52">
        <v>28315.41</v>
      </c>
      <c r="D23" s="52" t="s">
        <v>38</v>
      </c>
      <c r="E23">
        <f>+(C23-C$7)/C$8</f>
        <v>-2447.0293324070376</v>
      </c>
      <c r="F23">
        <f>ROUND(2*E23,0)/2</f>
        <v>-2447</v>
      </c>
      <c r="G23">
        <f>+C23-(C$7+F23*C$8)</f>
        <v>-0.14389199999641278</v>
      </c>
      <c r="I23">
        <f>+G23</f>
        <v>-0.14389199999641278</v>
      </c>
      <c r="O23">
        <f ca="1">+C$11+C$12*$F23</f>
        <v>-0.12246841204129712</v>
      </c>
      <c r="Q23" s="2">
        <f>+C23-15018.5</f>
        <v>13296.91</v>
      </c>
    </row>
    <row r="24" spans="1:18" x14ac:dyDescent="0.2">
      <c r="A24" s="51" t="s">
        <v>57</v>
      </c>
      <c r="B24" s="53" t="s">
        <v>80</v>
      </c>
      <c r="C24" s="52">
        <v>28982.55</v>
      </c>
      <c r="D24" s="52" t="s">
        <v>38</v>
      </c>
      <c r="E24">
        <f>+(C24-C$7)/C$8</f>
        <v>-2311.0327375200891</v>
      </c>
      <c r="F24">
        <f>ROUND(2*E24,0)/2</f>
        <v>-2311</v>
      </c>
      <c r="G24">
        <f>+C24-(C$7+F24*C$8)</f>
        <v>-0.16059599999789498</v>
      </c>
      <c r="I24">
        <f>+G24</f>
        <v>-0.16059599999789498</v>
      </c>
      <c r="O24">
        <f ca="1">+C$11+C$12*$F24</f>
        <v>-0.11456183456172724</v>
      </c>
      <c r="Q24" s="2">
        <f>+C24-15018.5</f>
        <v>13964.05</v>
      </c>
    </row>
    <row r="25" spans="1:18" x14ac:dyDescent="0.2">
      <c r="A25" s="51" t="s">
        <v>57</v>
      </c>
      <c r="B25" s="53" t="s">
        <v>80</v>
      </c>
      <c r="C25" s="52">
        <v>29046.39</v>
      </c>
      <c r="D25" s="52" t="s">
        <v>38</v>
      </c>
      <c r="E25">
        <f>+(C25-C$7)/C$8</f>
        <v>-2298.0189433875489</v>
      </c>
      <c r="F25">
        <f>ROUND(2*E25,0)/2</f>
        <v>-2298</v>
      </c>
      <c r="G25">
        <f>+C25-(C$7+F25*C$8)</f>
        <v>-9.2927999998209998E-2</v>
      </c>
      <c r="I25">
        <f>+G25</f>
        <v>-9.2927999998209998E-2</v>
      </c>
      <c r="O25">
        <f ca="1">+C$11+C$12*$F25</f>
        <v>-0.11380605877323895</v>
      </c>
      <c r="Q25" s="2">
        <f>+C25-15018.5</f>
        <v>14027.89</v>
      </c>
    </row>
    <row r="26" spans="1:18" x14ac:dyDescent="0.2">
      <c r="A26" s="51" t="s">
        <v>57</v>
      </c>
      <c r="B26" s="53" t="s">
        <v>80</v>
      </c>
      <c r="C26" s="52">
        <v>29728.31</v>
      </c>
      <c r="D26" s="52" t="s">
        <v>38</v>
      </c>
      <c r="E26">
        <f>+(C26-C$7)/C$8</f>
        <v>-2159.0094431547518</v>
      </c>
      <c r="F26">
        <f>ROUND(2*E26,0)/2</f>
        <v>-2159</v>
      </c>
      <c r="G26">
        <f>+C26-(C$7+F26*C$8)</f>
        <v>-4.6323999995365739E-2</v>
      </c>
      <c r="I26">
        <f>+G26</f>
        <v>-4.6323999995365739E-2</v>
      </c>
      <c r="O26">
        <f ca="1">+C$11+C$12*$F26</f>
        <v>-0.10572507149632561</v>
      </c>
      <c r="Q26" s="2">
        <f>+C26-15018.5</f>
        <v>14709.810000000001</v>
      </c>
    </row>
    <row r="27" spans="1:18" x14ac:dyDescent="0.2">
      <c r="A27" s="51" t="s">
        <v>57</v>
      </c>
      <c r="B27" s="53" t="s">
        <v>80</v>
      </c>
      <c r="C27" s="52">
        <v>29777.34</v>
      </c>
      <c r="D27" s="52" t="s">
        <v>38</v>
      </c>
      <c r="E27">
        <f>+(C27-C$7)/C$8</f>
        <v>-2149.0146698728213</v>
      </c>
      <c r="F27">
        <f>ROUND(2*E27,0)/2</f>
        <v>-2149</v>
      </c>
      <c r="G27">
        <f>+C27-(C$7+F27*C$8)</f>
        <v>-7.1963999998843065E-2</v>
      </c>
      <c r="I27">
        <f>+G27</f>
        <v>-7.1963999998843065E-2</v>
      </c>
      <c r="O27">
        <f ca="1">+C$11+C$12*$F27</f>
        <v>-0.10514370550518076</v>
      </c>
      <c r="Q27" s="2">
        <f>+C27-15018.5</f>
        <v>14758.84</v>
      </c>
    </row>
    <row r="28" spans="1:18" x14ac:dyDescent="0.2">
      <c r="A28" s="51" t="s">
        <v>57</v>
      </c>
      <c r="B28" s="53" t="s">
        <v>80</v>
      </c>
      <c r="C28" s="52">
        <v>29816.58</v>
      </c>
      <c r="D28" s="52" t="s">
        <v>38</v>
      </c>
      <c r="E28">
        <f>+(C28-C$7)/C$8</f>
        <v>-2141.0155896447372</v>
      </c>
      <c r="F28">
        <f>ROUND(2*E28,0)/2</f>
        <v>-2141</v>
      </c>
      <c r="G28">
        <f>+C28-(C$7+F28*C$8)</f>
        <v>-7.6475999994727317E-2</v>
      </c>
      <c r="I28">
        <f>+G28</f>
        <v>-7.6475999994727317E-2</v>
      </c>
      <c r="O28">
        <f ca="1">+C$11+C$12*$F28</f>
        <v>-0.10467861271226488</v>
      </c>
      <c r="Q28" s="2">
        <f>+C28-15018.5</f>
        <v>14798.080000000002</v>
      </c>
    </row>
    <row r="29" spans="1:18" x14ac:dyDescent="0.2">
      <c r="A29" s="51" t="s">
        <v>57</v>
      </c>
      <c r="B29" s="53" t="s">
        <v>80</v>
      </c>
      <c r="C29" s="52">
        <v>29880.37</v>
      </c>
      <c r="D29" s="52" t="s">
        <v>38</v>
      </c>
      <c r="E29">
        <f>+(C29-C$7)/C$8</f>
        <v>-2128.0119880201337</v>
      </c>
      <c r="F29">
        <f>ROUND(2*E29,0)/2</f>
        <v>-2128</v>
      </c>
      <c r="G29">
        <f>+C29-(C$7+F29*C$8)</f>
        <v>-5.880799999795272E-2</v>
      </c>
      <c r="I29">
        <f>+G29</f>
        <v>-5.880799999795272E-2</v>
      </c>
      <c r="O29">
        <f ca="1">+C$11+C$12*$F29</f>
        <v>-0.10392283692377659</v>
      </c>
      <c r="Q29" s="2">
        <f>+C29-15018.5</f>
        <v>14861.869999999999</v>
      </c>
    </row>
    <row r="30" spans="1:18" x14ac:dyDescent="0.2">
      <c r="A30" t="str">
        <f>$D$7</f>
        <v>VSX</v>
      </c>
      <c r="B30" s="3"/>
      <c r="C30" s="8">
        <f>$C$7</f>
        <v>40319.468999999997</v>
      </c>
      <c r="D30" s="8"/>
      <c r="E30">
        <f>+(C30-C$7)/C$8</f>
        <v>0</v>
      </c>
      <c r="F30">
        <f>ROUND(2*E30,0)/2</f>
        <v>0</v>
      </c>
      <c r="G30">
        <f>+C30-(C$7+F30*C$8)</f>
        <v>0</v>
      </c>
      <c r="H30">
        <f>+G30</f>
        <v>0</v>
      </c>
      <c r="O30">
        <f ca="1">+C$11+C$12*$F30</f>
        <v>1.9791845991846371E-2</v>
      </c>
      <c r="Q30" s="2">
        <f>+C30-15018.5</f>
        <v>25300.968999999997</v>
      </c>
    </row>
    <row r="31" spans="1:18" x14ac:dyDescent="0.2">
      <c r="B31" s="3"/>
      <c r="C31" s="8"/>
      <c r="D31" s="8"/>
      <c r="Q31" s="2"/>
    </row>
    <row r="32" spans="1:18" x14ac:dyDescent="0.2">
      <c r="C32" s="8"/>
      <c r="D32" s="8"/>
      <c r="Q32" s="2"/>
    </row>
    <row r="33" spans="3:4" x14ac:dyDescent="0.2">
      <c r="C33" s="8"/>
      <c r="D33" s="8"/>
    </row>
    <row r="34" spans="3:4" x14ac:dyDescent="0.2">
      <c r="C34" s="8"/>
      <c r="D34" s="8"/>
    </row>
    <row r="35" spans="3:4" x14ac:dyDescent="0.2">
      <c r="C35" s="8"/>
      <c r="D35" s="8"/>
    </row>
    <row r="36" spans="3:4" x14ac:dyDescent="0.2">
      <c r="C36" s="8"/>
      <c r="D36" s="8"/>
    </row>
    <row r="37" spans="3:4" x14ac:dyDescent="0.2">
      <c r="C37" s="8"/>
      <c r="D37" s="8"/>
    </row>
    <row r="38" spans="3:4" x14ac:dyDescent="0.2">
      <c r="C38" s="8"/>
      <c r="D38" s="8"/>
    </row>
    <row r="39" spans="3:4" x14ac:dyDescent="0.2">
      <c r="C39" s="8"/>
      <c r="D39" s="8"/>
    </row>
    <row r="40" spans="3:4" x14ac:dyDescent="0.2">
      <c r="C40" s="8"/>
      <c r="D40" s="8"/>
    </row>
    <row r="41" spans="3:4" x14ac:dyDescent="0.2">
      <c r="C41" s="8"/>
      <c r="D41" s="8"/>
    </row>
    <row r="42" spans="3:4" x14ac:dyDescent="0.2">
      <c r="C42" s="8"/>
      <c r="D42" s="8"/>
    </row>
    <row r="43" spans="3:4" x14ac:dyDescent="0.2">
      <c r="C43" s="8"/>
      <c r="D43" s="8"/>
    </row>
    <row r="44" spans="3:4" x14ac:dyDescent="0.2">
      <c r="C44" s="8"/>
      <c r="D44" s="8"/>
    </row>
    <row r="45" spans="3:4" x14ac:dyDescent="0.2">
      <c r="C45" s="8"/>
      <c r="D45" s="8"/>
    </row>
    <row r="46" spans="3:4" x14ac:dyDescent="0.2">
      <c r="C46" s="8"/>
      <c r="D46" s="8"/>
    </row>
    <row r="47" spans="3:4" x14ac:dyDescent="0.2">
      <c r="C47" s="8"/>
      <c r="D47" s="8"/>
    </row>
    <row r="48" spans="3:4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</sheetData>
  <sortState xmlns:xlrd2="http://schemas.microsoft.com/office/spreadsheetml/2017/richdata2" ref="A21:R34">
    <sortCondition ref="C21:C34"/>
  </sortState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08"/>
  <sheetViews>
    <sheetView workbookViewId="0">
      <selection activeCell="A11" sqref="A11:D19"/>
    </sheetView>
  </sheetViews>
  <sheetFormatPr defaultRowHeight="12.75" x14ac:dyDescent="0.2"/>
  <cols>
    <col min="1" max="1" width="19.7109375" style="8" customWidth="1"/>
    <col min="2" max="2" width="4.42578125" style="10" customWidth="1"/>
    <col min="3" max="3" width="12.7109375" style="8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38" t="s">
        <v>41</v>
      </c>
      <c r="I1" s="39" t="s">
        <v>42</v>
      </c>
      <c r="J1" s="40" t="s">
        <v>40</v>
      </c>
    </row>
    <row r="2" spans="1:16" x14ac:dyDescent="0.2">
      <c r="I2" s="41" t="s">
        <v>43</v>
      </c>
      <c r="J2" s="42" t="s">
        <v>39</v>
      </c>
    </row>
    <row r="3" spans="1:16" x14ac:dyDescent="0.2">
      <c r="A3" s="43" t="s">
        <v>44</v>
      </c>
      <c r="I3" s="41" t="s">
        <v>45</v>
      </c>
      <c r="J3" s="42" t="s">
        <v>37</v>
      </c>
    </row>
    <row r="4" spans="1:16" x14ac:dyDescent="0.2">
      <c r="I4" s="41" t="s">
        <v>46</v>
      </c>
      <c r="J4" s="42" t="s">
        <v>37</v>
      </c>
    </row>
    <row r="5" spans="1:16" ht="13.5" thickBot="1" x14ac:dyDescent="0.25">
      <c r="I5" s="44" t="s">
        <v>47</v>
      </c>
      <c r="J5" s="45" t="s">
        <v>38</v>
      </c>
    </row>
    <row r="10" spans="1:16" ht="13.5" thickBot="1" x14ac:dyDescent="0.25"/>
    <row r="11" spans="1:16" ht="12.75" customHeight="1" thickBot="1" x14ac:dyDescent="0.25">
      <c r="A11" s="8" t="str">
        <f t="shared" ref="A11:A19" si="0">P11</f>
        <v> KVBB 24.23 </v>
      </c>
      <c r="B11" s="3" t="str">
        <f t="shared" ref="B11:B19" si="1">IF(H11=INT(H11),"I","II")</f>
        <v>I</v>
      </c>
      <c r="C11" s="8">
        <f t="shared" ref="C11:C19" si="2">1*G11</f>
        <v>27589.39</v>
      </c>
      <c r="D11" s="10" t="str">
        <f t="shared" ref="D11:D19" si="3">VLOOKUP(F11,I$1:J$5,2,FALSE)</f>
        <v>vis</v>
      </c>
      <c r="E11" s="46">
        <f>VLOOKUP(C11,Active!C$21:E$972,3,FALSE)</f>
        <v>-2595.0286246392866</v>
      </c>
      <c r="F11" s="3" t="s">
        <v>47</v>
      </c>
      <c r="G11" s="10" t="str">
        <f t="shared" ref="G11:G19" si="4">MID(I11,3,LEN(I11)-3)</f>
        <v>27589.39</v>
      </c>
      <c r="H11" s="8">
        <f t="shared" ref="H11:H19" si="5">1*K11</f>
        <v>0</v>
      </c>
      <c r="I11" s="47" t="s">
        <v>52</v>
      </c>
      <c r="J11" s="48" t="s">
        <v>53</v>
      </c>
      <c r="K11" s="47">
        <v>0</v>
      </c>
      <c r="L11" s="47" t="s">
        <v>54</v>
      </c>
      <c r="M11" s="48" t="s">
        <v>55</v>
      </c>
      <c r="N11" s="48"/>
      <c r="O11" s="49" t="s">
        <v>56</v>
      </c>
      <c r="P11" s="49" t="s">
        <v>57</v>
      </c>
    </row>
    <row r="12" spans="1:16" ht="12.75" customHeight="1" thickBot="1" x14ac:dyDescent="0.25">
      <c r="A12" s="8" t="str">
        <f t="shared" si="0"/>
        <v> KVBB 24.23 </v>
      </c>
      <c r="B12" s="3" t="str">
        <f t="shared" si="1"/>
        <v>I</v>
      </c>
      <c r="C12" s="8">
        <f t="shared" si="2"/>
        <v>28305.53</v>
      </c>
      <c r="D12" s="10" t="str">
        <f t="shared" si="3"/>
        <v>vis</v>
      </c>
      <c r="E12" s="46">
        <f>VLOOKUP(C12,Active!C$21:E$972,3,FALSE)</f>
        <v>-2449.0433719751691</v>
      </c>
      <c r="F12" s="3" t="s">
        <v>47</v>
      </c>
      <c r="G12" s="10" t="str">
        <f t="shared" si="4"/>
        <v>28305.53</v>
      </c>
      <c r="H12" s="8">
        <f t="shared" si="5"/>
        <v>146</v>
      </c>
      <c r="I12" s="47" t="s">
        <v>58</v>
      </c>
      <c r="J12" s="48" t="s">
        <v>59</v>
      </c>
      <c r="K12" s="47">
        <v>146</v>
      </c>
      <c r="L12" s="47" t="s">
        <v>60</v>
      </c>
      <c r="M12" s="48" t="s">
        <v>55</v>
      </c>
      <c r="N12" s="48"/>
      <c r="O12" s="49" t="s">
        <v>56</v>
      </c>
      <c r="P12" s="49" t="s">
        <v>57</v>
      </c>
    </row>
    <row r="13" spans="1:16" ht="12.75" customHeight="1" thickBot="1" x14ac:dyDescent="0.25">
      <c r="A13" s="8" t="str">
        <f t="shared" si="0"/>
        <v> KVBB 24.23 </v>
      </c>
      <c r="B13" s="3" t="str">
        <f t="shared" si="1"/>
        <v>I</v>
      </c>
      <c r="C13" s="8">
        <f t="shared" si="2"/>
        <v>28315.41</v>
      </c>
      <c r="D13" s="10" t="str">
        <f t="shared" si="3"/>
        <v>vis</v>
      </c>
      <c r="E13" s="46">
        <f>VLOOKUP(C13,Active!C$21:E$972,3,FALSE)</f>
        <v>-2447.0293324070376</v>
      </c>
      <c r="F13" s="3" t="s">
        <v>47</v>
      </c>
      <c r="G13" s="10" t="str">
        <f t="shared" si="4"/>
        <v>28315.41</v>
      </c>
      <c r="H13" s="8">
        <f t="shared" si="5"/>
        <v>148</v>
      </c>
      <c r="I13" s="47" t="s">
        <v>61</v>
      </c>
      <c r="J13" s="48" t="s">
        <v>62</v>
      </c>
      <c r="K13" s="47">
        <v>148</v>
      </c>
      <c r="L13" s="47" t="s">
        <v>63</v>
      </c>
      <c r="M13" s="48" t="s">
        <v>55</v>
      </c>
      <c r="N13" s="48"/>
      <c r="O13" s="49" t="s">
        <v>56</v>
      </c>
      <c r="P13" s="49" t="s">
        <v>57</v>
      </c>
    </row>
    <row r="14" spans="1:16" ht="12.75" customHeight="1" thickBot="1" x14ac:dyDescent="0.25">
      <c r="A14" s="8" t="str">
        <f t="shared" si="0"/>
        <v> KVBB 24.23 </v>
      </c>
      <c r="B14" s="3" t="str">
        <f t="shared" si="1"/>
        <v>I</v>
      </c>
      <c r="C14" s="8">
        <f t="shared" si="2"/>
        <v>28982.55</v>
      </c>
      <c r="D14" s="10" t="str">
        <f t="shared" si="3"/>
        <v>vis</v>
      </c>
      <c r="E14" s="46">
        <f>VLOOKUP(C14,Active!C$21:E$972,3,FALSE)</f>
        <v>-2311.0327375200891</v>
      </c>
      <c r="F14" s="3" t="s">
        <v>47</v>
      </c>
      <c r="G14" s="10" t="str">
        <f t="shared" si="4"/>
        <v>28982.55</v>
      </c>
      <c r="H14" s="8">
        <f t="shared" si="5"/>
        <v>284</v>
      </c>
      <c r="I14" s="47" t="s">
        <v>64</v>
      </c>
      <c r="J14" s="48" t="s">
        <v>65</v>
      </c>
      <c r="K14" s="47">
        <v>284</v>
      </c>
      <c r="L14" s="47" t="s">
        <v>60</v>
      </c>
      <c r="M14" s="48" t="s">
        <v>55</v>
      </c>
      <c r="N14" s="48"/>
      <c r="O14" s="49" t="s">
        <v>56</v>
      </c>
      <c r="P14" s="49" t="s">
        <v>57</v>
      </c>
    </row>
    <row r="15" spans="1:16" ht="12.75" customHeight="1" thickBot="1" x14ac:dyDescent="0.25">
      <c r="A15" s="8" t="str">
        <f t="shared" si="0"/>
        <v> KVBB 24.23 </v>
      </c>
      <c r="B15" s="3" t="str">
        <f t="shared" si="1"/>
        <v>I</v>
      </c>
      <c r="C15" s="8">
        <f t="shared" si="2"/>
        <v>29046.39</v>
      </c>
      <c r="D15" s="10" t="str">
        <f t="shared" si="3"/>
        <v>vis</v>
      </c>
      <c r="E15" s="46">
        <f>VLOOKUP(C15,Active!C$21:E$972,3,FALSE)</f>
        <v>-2298.0189433875489</v>
      </c>
      <c r="F15" s="3" t="s">
        <v>47</v>
      </c>
      <c r="G15" s="10" t="str">
        <f t="shared" si="4"/>
        <v>29046.39</v>
      </c>
      <c r="H15" s="8">
        <f t="shared" si="5"/>
        <v>297</v>
      </c>
      <c r="I15" s="47" t="s">
        <v>66</v>
      </c>
      <c r="J15" s="48" t="s">
        <v>67</v>
      </c>
      <c r="K15" s="47">
        <v>297</v>
      </c>
      <c r="L15" s="47" t="s">
        <v>63</v>
      </c>
      <c r="M15" s="48" t="s">
        <v>48</v>
      </c>
      <c r="N15" s="48"/>
      <c r="O15" s="49" t="s">
        <v>56</v>
      </c>
      <c r="P15" s="49" t="s">
        <v>57</v>
      </c>
    </row>
    <row r="16" spans="1:16" ht="12.75" customHeight="1" thickBot="1" x14ac:dyDescent="0.25">
      <c r="A16" s="8" t="str">
        <f t="shared" si="0"/>
        <v> KVBB 24.23 </v>
      </c>
      <c r="B16" s="3" t="str">
        <f t="shared" si="1"/>
        <v>I</v>
      </c>
      <c r="C16" s="8">
        <f t="shared" si="2"/>
        <v>29728.31</v>
      </c>
      <c r="D16" s="10" t="str">
        <f t="shared" si="3"/>
        <v>vis</v>
      </c>
      <c r="E16" s="46">
        <f>VLOOKUP(C16,Active!C$21:E$972,3,FALSE)</f>
        <v>-2159.0094431547518</v>
      </c>
      <c r="F16" s="3" t="s">
        <v>47</v>
      </c>
      <c r="G16" s="10" t="str">
        <f t="shared" si="4"/>
        <v>29728.31</v>
      </c>
      <c r="H16" s="8">
        <f t="shared" si="5"/>
        <v>436</v>
      </c>
      <c r="I16" s="47" t="s">
        <v>68</v>
      </c>
      <c r="J16" s="48" t="s">
        <v>69</v>
      </c>
      <c r="K16" s="47">
        <v>436</v>
      </c>
      <c r="L16" s="47" t="s">
        <v>63</v>
      </c>
      <c r="M16" s="48" t="s">
        <v>48</v>
      </c>
      <c r="N16" s="48"/>
      <c r="O16" s="49" t="s">
        <v>56</v>
      </c>
      <c r="P16" s="49" t="s">
        <v>57</v>
      </c>
    </row>
    <row r="17" spans="1:16" ht="12.75" customHeight="1" thickBot="1" x14ac:dyDescent="0.25">
      <c r="A17" s="8" t="str">
        <f t="shared" si="0"/>
        <v> KVBB 24.23 </v>
      </c>
      <c r="B17" s="3" t="str">
        <f t="shared" si="1"/>
        <v>I</v>
      </c>
      <c r="C17" s="8">
        <f t="shared" si="2"/>
        <v>29777.34</v>
      </c>
      <c r="D17" s="10" t="str">
        <f t="shared" si="3"/>
        <v>vis</v>
      </c>
      <c r="E17" s="46">
        <f>VLOOKUP(C17,Active!C$21:E$972,3,FALSE)</f>
        <v>-2149.0146698728213</v>
      </c>
      <c r="F17" s="3" t="s">
        <v>47</v>
      </c>
      <c r="G17" s="10" t="str">
        <f t="shared" si="4"/>
        <v>29777.34</v>
      </c>
      <c r="H17" s="8">
        <f t="shared" si="5"/>
        <v>446</v>
      </c>
      <c r="I17" s="47" t="s">
        <v>70</v>
      </c>
      <c r="J17" s="48" t="s">
        <v>71</v>
      </c>
      <c r="K17" s="47">
        <v>446</v>
      </c>
      <c r="L17" s="47" t="s">
        <v>72</v>
      </c>
      <c r="M17" s="48" t="s">
        <v>73</v>
      </c>
      <c r="N17" s="48"/>
      <c r="O17" s="49" t="s">
        <v>56</v>
      </c>
      <c r="P17" s="49" t="s">
        <v>57</v>
      </c>
    </row>
    <row r="18" spans="1:16" ht="12.75" customHeight="1" thickBot="1" x14ac:dyDescent="0.25">
      <c r="A18" s="8" t="str">
        <f t="shared" si="0"/>
        <v> KVBB 24.23 </v>
      </c>
      <c r="B18" s="3" t="str">
        <f t="shared" si="1"/>
        <v>I</v>
      </c>
      <c r="C18" s="8">
        <f t="shared" si="2"/>
        <v>29816.58</v>
      </c>
      <c r="D18" s="10" t="str">
        <f t="shared" si="3"/>
        <v>vis</v>
      </c>
      <c r="E18" s="46">
        <f>VLOOKUP(C18,Active!C$21:E$972,3,FALSE)</f>
        <v>-2141.0155896447372</v>
      </c>
      <c r="F18" s="3" t="s">
        <v>47</v>
      </c>
      <c r="G18" s="10" t="str">
        <f t="shared" si="4"/>
        <v>29816.58</v>
      </c>
      <c r="H18" s="8">
        <f t="shared" si="5"/>
        <v>454</v>
      </c>
      <c r="I18" s="47" t="s">
        <v>74</v>
      </c>
      <c r="J18" s="48" t="s">
        <v>75</v>
      </c>
      <c r="K18" s="47">
        <v>454</v>
      </c>
      <c r="L18" s="47" t="s">
        <v>76</v>
      </c>
      <c r="M18" s="48" t="s">
        <v>73</v>
      </c>
      <c r="N18" s="48"/>
      <c r="O18" s="49" t="s">
        <v>56</v>
      </c>
      <c r="P18" s="49" t="s">
        <v>57</v>
      </c>
    </row>
    <row r="19" spans="1:16" ht="12.75" customHeight="1" thickBot="1" x14ac:dyDescent="0.25">
      <c r="A19" s="8" t="str">
        <f t="shared" si="0"/>
        <v> KVBB 24.23 </v>
      </c>
      <c r="B19" s="3" t="str">
        <f t="shared" si="1"/>
        <v>I</v>
      </c>
      <c r="C19" s="8">
        <f t="shared" si="2"/>
        <v>29880.37</v>
      </c>
      <c r="D19" s="10" t="str">
        <f t="shared" si="3"/>
        <v>vis</v>
      </c>
      <c r="E19" s="46">
        <f>VLOOKUP(C19,Active!C$21:E$972,3,FALSE)</f>
        <v>-2128.0119880201337</v>
      </c>
      <c r="F19" s="3" t="s">
        <v>47</v>
      </c>
      <c r="G19" s="10" t="str">
        <f t="shared" si="4"/>
        <v>29880.37</v>
      </c>
      <c r="H19" s="8">
        <f t="shared" si="5"/>
        <v>467</v>
      </c>
      <c r="I19" s="47" t="s">
        <v>77</v>
      </c>
      <c r="J19" s="48" t="s">
        <v>78</v>
      </c>
      <c r="K19" s="47">
        <v>467</v>
      </c>
      <c r="L19" s="47" t="s">
        <v>79</v>
      </c>
      <c r="M19" s="48" t="s">
        <v>73</v>
      </c>
      <c r="N19" s="48"/>
      <c r="O19" s="49" t="s">
        <v>56</v>
      </c>
      <c r="P19" s="49" t="s">
        <v>57</v>
      </c>
    </row>
    <row r="20" spans="1:16" x14ac:dyDescent="0.2">
      <c r="B20" s="3"/>
      <c r="E20" s="46"/>
      <c r="F20" s="3"/>
    </row>
    <row r="21" spans="1:16" x14ac:dyDescent="0.2">
      <c r="B21" s="3"/>
      <c r="F21" s="3"/>
    </row>
    <row r="22" spans="1:16" x14ac:dyDescent="0.2">
      <c r="B22" s="3"/>
      <c r="F22" s="3"/>
    </row>
    <row r="23" spans="1:16" x14ac:dyDescent="0.2">
      <c r="B23" s="3"/>
      <c r="F23" s="3"/>
    </row>
    <row r="24" spans="1:16" x14ac:dyDescent="0.2">
      <c r="B24" s="3"/>
      <c r="F24" s="3"/>
    </row>
    <row r="25" spans="1:16" x14ac:dyDescent="0.2">
      <c r="B25" s="3"/>
      <c r="F25" s="3"/>
    </row>
    <row r="26" spans="1:16" x14ac:dyDescent="0.2">
      <c r="B26" s="3"/>
      <c r="F26" s="3"/>
    </row>
    <row r="27" spans="1:16" x14ac:dyDescent="0.2">
      <c r="B27" s="3"/>
      <c r="F27" s="3"/>
    </row>
    <row r="28" spans="1:16" x14ac:dyDescent="0.2">
      <c r="B28" s="3"/>
      <c r="F28" s="3"/>
    </row>
    <row r="29" spans="1:16" x14ac:dyDescent="0.2">
      <c r="B29" s="3"/>
      <c r="F29" s="3"/>
    </row>
    <row r="30" spans="1:16" x14ac:dyDescent="0.2">
      <c r="B30" s="3"/>
      <c r="F30" s="3"/>
    </row>
    <row r="31" spans="1:16" x14ac:dyDescent="0.2">
      <c r="B31" s="3"/>
      <c r="F31" s="3"/>
    </row>
    <row r="32" spans="1:1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</sheetData>
  <phoneticPr fontId="7" type="noConversion"/>
  <hyperlinks>
    <hyperlink ref="A3" r:id="rId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2024-02-12T05:20:54Z</dcterms:modified>
</cp:coreProperties>
</file>