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7A203F0-5872-40E4-B965-E0150DC349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2" i="1"/>
  <c r="F22" i="1"/>
  <c r="G22" i="1"/>
  <c r="L22" i="1"/>
  <c r="E23" i="1"/>
  <c r="F23" i="1"/>
  <c r="G23" i="1"/>
  <c r="L23" i="1"/>
  <c r="E24" i="1"/>
  <c r="F24" i="1"/>
  <c r="G24" i="1"/>
  <c r="E25" i="1"/>
  <c r="F25" i="1"/>
  <c r="G25" i="1"/>
  <c r="L25" i="1"/>
  <c r="E26" i="1"/>
  <c r="F26" i="1"/>
  <c r="G26" i="1"/>
  <c r="L26" i="1"/>
  <c r="E27" i="1"/>
  <c r="F27" i="1"/>
  <c r="G27" i="1"/>
  <c r="L27" i="1"/>
  <c r="E28" i="1"/>
  <c r="F28" i="1"/>
  <c r="G28" i="1"/>
  <c r="L28" i="1"/>
  <c r="E29" i="1"/>
  <c r="F29" i="1"/>
  <c r="G29" i="1"/>
  <c r="L29" i="1"/>
  <c r="E30" i="1"/>
  <c r="F30" i="1"/>
  <c r="G30" i="1"/>
  <c r="L30" i="1"/>
  <c r="E31" i="1"/>
  <c r="F31" i="1"/>
  <c r="G31" i="1"/>
  <c r="L31" i="1"/>
  <c r="E32" i="1"/>
  <c r="F32" i="1"/>
  <c r="G32" i="1"/>
  <c r="E33" i="1"/>
  <c r="F33" i="1"/>
  <c r="G33" i="1"/>
  <c r="L33" i="1"/>
  <c r="E34" i="1"/>
  <c r="F34" i="1"/>
  <c r="G34" i="1"/>
  <c r="L34" i="1"/>
  <c r="E35" i="1"/>
  <c r="F35" i="1"/>
  <c r="G35" i="1"/>
  <c r="L35" i="1"/>
  <c r="E36" i="1"/>
  <c r="F36" i="1"/>
  <c r="G36" i="1"/>
  <c r="L36" i="1"/>
  <c r="E37" i="1"/>
  <c r="F37" i="1"/>
  <c r="G37" i="1"/>
  <c r="L37" i="1"/>
  <c r="E38" i="1"/>
  <c r="F38" i="1"/>
  <c r="G38" i="1"/>
  <c r="L38" i="1"/>
  <c r="E40" i="1"/>
  <c r="F40" i="1"/>
  <c r="G40" i="1"/>
  <c r="L40" i="1"/>
  <c r="E45" i="1"/>
  <c r="F45" i="1"/>
  <c r="G45" i="1"/>
  <c r="E47" i="1"/>
  <c r="F47" i="1"/>
  <c r="G47" i="1"/>
  <c r="L47" i="1"/>
  <c r="E39" i="1"/>
  <c r="F39" i="1"/>
  <c r="G39" i="1"/>
  <c r="I39" i="1"/>
  <c r="E41" i="1"/>
  <c r="F41" i="1"/>
  <c r="G41" i="1"/>
  <c r="I41" i="1"/>
  <c r="E42" i="1"/>
  <c r="F42" i="1"/>
  <c r="G42" i="1"/>
  <c r="I42" i="1"/>
  <c r="E44" i="1"/>
  <c r="F44" i="1"/>
  <c r="G44" i="1"/>
  <c r="J44" i="1"/>
  <c r="E48" i="1"/>
  <c r="F48" i="1"/>
  <c r="G48" i="1"/>
  <c r="J48" i="1"/>
  <c r="E49" i="1"/>
  <c r="F49" i="1"/>
  <c r="G49" i="1"/>
  <c r="K49" i="1"/>
  <c r="E50" i="1"/>
  <c r="F50" i="1"/>
  <c r="G50" i="1"/>
  <c r="E51" i="1"/>
  <c r="F51" i="1"/>
  <c r="G51" i="1"/>
  <c r="K51" i="1"/>
  <c r="E52" i="1"/>
  <c r="F52" i="1"/>
  <c r="G52" i="1"/>
  <c r="J52" i="1"/>
  <c r="E53" i="1"/>
  <c r="F53" i="1"/>
  <c r="G53" i="1"/>
  <c r="K53" i="1"/>
  <c r="E54" i="1"/>
  <c r="F54" i="1"/>
  <c r="G54" i="1"/>
  <c r="K54" i="1"/>
  <c r="E21" i="1"/>
  <c r="F21" i="1"/>
  <c r="E43" i="1"/>
  <c r="F43" i="1"/>
  <c r="E46" i="1"/>
  <c r="F46" i="1"/>
  <c r="U46" i="1"/>
  <c r="G11" i="1"/>
  <c r="F11" i="1"/>
  <c r="Q22" i="1"/>
  <c r="Q23" i="1"/>
  <c r="L24" i="1"/>
  <c r="Q24" i="1"/>
  <c r="Q25" i="1"/>
  <c r="Q26" i="1"/>
  <c r="Q27" i="1"/>
  <c r="Q28" i="1"/>
  <c r="Q29" i="1"/>
  <c r="Q30" i="1"/>
  <c r="Q31" i="1"/>
  <c r="L32" i="1"/>
  <c r="Q32" i="1"/>
  <c r="Q33" i="1"/>
  <c r="Q34" i="1"/>
  <c r="Q35" i="1"/>
  <c r="Q36" i="1"/>
  <c r="Q37" i="1"/>
  <c r="Q38" i="1"/>
  <c r="Q40" i="1"/>
  <c r="L45" i="1"/>
  <c r="Q45" i="1"/>
  <c r="Q47" i="1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42" i="2"/>
  <c r="C42" i="2"/>
  <c r="E42" i="2"/>
  <c r="G41" i="2"/>
  <c r="C41" i="2"/>
  <c r="E41" i="2"/>
  <c r="G15" i="2"/>
  <c r="C15" i="2"/>
  <c r="E15" i="2"/>
  <c r="G14" i="2"/>
  <c r="C14" i="2"/>
  <c r="E14" i="2"/>
  <c r="G13" i="2"/>
  <c r="C13" i="2"/>
  <c r="E13" i="2"/>
  <c r="G12" i="2"/>
  <c r="C12" i="2"/>
  <c r="E12" i="2"/>
  <c r="G40" i="2"/>
  <c r="C40" i="2"/>
  <c r="E40" i="2"/>
  <c r="G11" i="2"/>
  <c r="C11" i="2"/>
  <c r="E11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42" i="2"/>
  <c r="D42" i="2"/>
  <c r="B42" i="2"/>
  <c r="A42" i="2"/>
  <c r="H41" i="2"/>
  <c r="D41" i="2"/>
  <c r="B41" i="2"/>
  <c r="A41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40" i="2"/>
  <c r="D40" i="2"/>
  <c r="B40" i="2"/>
  <c r="A40" i="2"/>
  <c r="H11" i="2"/>
  <c r="D11" i="2"/>
  <c r="B11" i="2"/>
  <c r="A11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Q54" i="1"/>
  <c r="Q53" i="1"/>
  <c r="Q49" i="1"/>
  <c r="Q51" i="1"/>
  <c r="E14" i="1"/>
  <c r="C17" i="1"/>
  <c r="Q52" i="1"/>
  <c r="J50" i="1"/>
  <c r="Q50" i="1"/>
  <c r="Q48" i="1"/>
  <c r="U43" i="1"/>
  <c r="Q46" i="1"/>
  <c r="Q43" i="1"/>
  <c r="Q44" i="1"/>
  <c r="Q39" i="1"/>
  <c r="Q41" i="1"/>
  <c r="Q42" i="1"/>
  <c r="Q21" i="1"/>
  <c r="C11" i="1"/>
  <c r="C12" i="1"/>
  <c r="C16" i="1" l="1"/>
  <c r="D18" i="1" s="1"/>
  <c r="O50" i="1"/>
  <c r="O46" i="1"/>
  <c r="O48" i="1"/>
  <c r="O53" i="1"/>
  <c r="O51" i="1"/>
  <c r="O39" i="1"/>
  <c r="O42" i="1"/>
  <c r="O43" i="1"/>
  <c r="O49" i="1"/>
  <c r="O52" i="1"/>
  <c r="O40" i="1"/>
  <c r="O41" i="1"/>
  <c r="O44" i="1"/>
  <c r="O45" i="1"/>
  <c r="O54" i="1"/>
  <c r="C15" i="1"/>
  <c r="O47" i="1"/>
  <c r="E15" i="1"/>
  <c r="E16" i="1" l="1"/>
  <c r="E17" i="1" s="1"/>
  <c r="C18" i="1"/>
</calcChain>
</file>

<file path=xl/sharedStrings.xml><?xml version="1.0" encoding="utf-8"?>
<sst xmlns="http://schemas.openxmlformats.org/spreadsheetml/2006/main" count="386" uniqueCount="196">
  <si>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</si>
  <si>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</si>
  <si>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</si>
  <si>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</si>
  <si>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</si>
  <si>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</si>
  <si>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</si>
  <si>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</si>
  <si>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</si>
  <si>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</si>
  <si>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</si>
  <si>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</si>
  <si>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</si>
  <si>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</si>
  <si>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</si>
  <si>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</si>
  <si>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</si>
  <si>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</si>
  <si>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</si>
  <si>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</si>
  <si>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</si>
  <si>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</si>
  <si>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</si>
  <si>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</si>
  <si>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</si>
  <si>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</si>
  <si>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</si>
  <si>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Bull.88</t>
  </si>
  <si>
    <t>B</t>
  </si>
  <si>
    <t>BBSAG Bull.91</t>
  </si>
  <si>
    <t>Diethelm R</t>
  </si>
  <si>
    <t>BBSAG Bull.115</t>
  </si>
  <si>
    <t>BBSAG</t>
  </si>
  <si>
    <t>IBVS 5027</t>
  </si>
  <si>
    <t>I</t>
  </si>
  <si>
    <t>II</t>
  </si>
  <si>
    <t>IBVS</t>
  </si>
  <si>
    <t>Marv</t>
  </si>
  <si>
    <t>visual</t>
  </si>
  <si>
    <t>IBVS 5543</t>
  </si>
  <si>
    <t>EW?</t>
  </si>
  <si>
    <t># of data points:</t>
  </si>
  <si>
    <t>IBVS 5874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</si>
  <si>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</si>
  <si>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</si>
  <si>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</si>
  <si>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</si>
  <si>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</si>
  <si>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</si>
  <si>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</si>
  <si>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5945</t>
  </si>
  <si>
    <t>Add cycle</t>
  </si>
  <si>
    <t>Old Cycle</t>
  </si>
  <si>
    <t>OEJV 0137</t>
  </si>
  <si>
    <t>OEJV</t>
  </si>
  <si>
    <t>IBVS 5992</t>
  </si>
  <si>
    <t>OEJV 0003</t>
  </si>
  <si>
    <t>OEJV 0160</t>
  </si>
  <si>
    <t>BAD?</t>
  </si>
  <si>
    <t>V0366 Her / GSC 02068-00675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</si>
  <si>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</si>
  <si>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</si>
  <si>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</si>
  <si>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</si>
  <si>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</si>
  <si>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</si>
  <si>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</si>
  <si>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</si>
  <si>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</si>
  <si>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</si>
  <si>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</si>
  <si>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2427571.510 </t>
  </si>
  <si>
    <t> 14.05.1934 00:14 </t>
  </si>
  <si>
    <t> 0.045 </t>
  </si>
  <si>
    <t>P </t>
  </si>
  <si>
    <t> C.Hoffmeister </t>
  </si>
  <si>
    <t> VSS 4.335 </t>
  </si>
  <si>
    <t>2428302.425 </t>
  </si>
  <si>
    <t> 13.05.1936 22:12 </t>
  </si>
  <si>
    <t> 0.004 </t>
  </si>
  <si>
    <t>2428630.578 </t>
  </si>
  <si>
    <t> 07.04.1937 01:52 </t>
  </si>
  <si>
    <t> -0.084 </t>
  </si>
  <si>
    <t>2430412.594 </t>
  </si>
  <si>
    <t> 22.02.1942 02:15 </t>
  </si>
  <si>
    <t> 0.054 </t>
  </si>
  <si>
    <t>2430787.628 </t>
  </si>
  <si>
    <t> 04.03.1943 03:04 </t>
  </si>
  <si>
    <t> -0.044 </t>
  </si>
  <si>
    <t>2430798.620 </t>
  </si>
  <si>
    <t> 15.03.1943 02:52 </t>
  </si>
  <si>
    <t> -0.085 </t>
  </si>
  <si>
    <t>2431223.413 </t>
  </si>
  <si>
    <t> 12.05.1944 21:54 </t>
  </si>
  <si>
    <t> -0.074 </t>
  </si>
  <si>
    <t>2431314.401 </t>
  </si>
  <si>
    <t> 11.08.1944 21:37 </t>
  </si>
  <si>
    <t> -0.111 </t>
  </si>
  <si>
    <t>2431554.575 </t>
  </si>
  <si>
    <t> 09.04.1945 01:48 </t>
  </si>
  <si>
    <t> 0.089 </t>
  </si>
  <si>
    <t>2431645.458 </t>
  </si>
  <si>
    <t> 08.07.1945 22:59 </t>
  </si>
  <si>
    <t> -0.053 </t>
  </si>
  <si>
    <t>2433002.554 </t>
  </si>
  <si>
    <t> 27.03.1949 01:17 </t>
  </si>
  <si>
    <t>2433096.464 </t>
  </si>
  <si>
    <t> 28.06.1949 23:08 </t>
  </si>
  <si>
    <t> 0.074 </t>
  </si>
  <si>
    <t>2433827.435 </t>
  </si>
  <si>
    <t> 29.06.1951 22:26 </t>
  </si>
  <si>
    <t> VSS 4.336 </t>
  </si>
  <si>
    <t>2436075.382 </t>
  </si>
  <si>
    <t> 24.08.1957 21:10 </t>
  </si>
  <si>
    <t> 0.001 </t>
  </si>
  <si>
    <t>V </t>
  </si>
  <si>
    <t>2436086.425 </t>
  </si>
  <si>
    <t> 04.09.1957 22:12 </t>
  </si>
  <si>
    <t> 0.011 </t>
  </si>
  <si>
    <t>2436108.480 </t>
  </si>
  <si>
    <t> 26.09.1957 23:31 </t>
  </si>
  <si>
    <t> -0.001 </t>
  </si>
  <si>
    <t>2436133.307 </t>
  </si>
  <si>
    <t> 21.10.1957 19:22 </t>
  </si>
  <si>
    <t>2447326.547 </t>
  </si>
  <si>
    <t> 14.06.1988 01:07 </t>
  </si>
  <si>
    <t> -0.042 </t>
  </si>
  <si>
    <t> K.Locher </t>
  </si>
  <si>
    <t> BBS 88 </t>
  </si>
  <si>
    <t>2447373.449 </t>
  </si>
  <si>
    <t> 30.07.1988 22:46 </t>
  </si>
  <si>
    <t> -0.031 </t>
  </si>
  <si>
    <t> J.Manek </t>
  </si>
  <si>
    <t> BRNO 30 </t>
  </si>
  <si>
    <t>2447624.465 </t>
  </si>
  <si>
    <t> 07.04.1989 23:09 </t>
  </si>
  <si>
    <t> -0.023 </t>
  </si>
  <si>
    <t> BBS 91 </t>
  </si>
  <si>
    <t>2450672.357 </t>
  </si>
  <si>
    <t> 11.08.1997 20:34 </t>
  </si>
  <si>
    <t> -0.080 </t>
  </si>
  <si>
    <t>E </t>
  </si>
  <si>
    <t>?</t>
  </si>
  <si>
    <t> R.Diethelm </t>
  </si>
  <si>
    <t> BBS 115 </t>
  </si>
  <si>
    <t>2451306.706 </t>
  </si>
  <si>
    <t> 08.05.1999 04:56 </t>
  </si>
  <si>
    <t> -0.146 </t>
  </si>
  <si>
    <t>IBVS 5027 </t>
  </si>
  <si>
    <t>2451310.8874 </t>
  </si>
  <si>
    <t> 12.05.1999 09:17 </t>
  </si>
  <si>
    <t> -0.1017 </t>
  </si>
  <si>
    <t>2451767.3962 </t>
  </si>
  <si>
    <t> 10.08.2000 21:30 </t>
  </si>
  <si>
    <t> -0.0957 </t>
  </si>
  <si>
    <t> BBS 123 </t>
  </si>
  <si>
    <t>2452051.4994 </t>
  </si>
  <si>
    <t> 21.05.2001 23:59 </t>
  </si>
  <si>
    <t> -0.1000 </t>
  </si>
  <si>
    <t> BBS 125 </t>
  </si>
  <si>
    <t>2452840.394 </t>
  </si>
  <si>
    <t> 19.07.2003 21:27 </t>
  </si>
  <si>
    <t> -0.086 </t>
  </si>
  <si>
    <t> BBS 130 </t>
  </si>
  <si>
    <t>2453557.523 </t>
  </si>
  <si>
    <t> 06.07.2005 00:33 </t>
  </si>
  <si>
    <t> -0.122 </t>
  </si>
  <si>
    <t>OEJV 0003 </t>
  </si>
  <si>
    <t>2454597.4114 </t>
  </si>
  <si>
    <t> 10.05.2008 21:52 </t>
  </si>
  <si>
    <t> -0.1220 </t>
  </si>
  <si>
    <t>C </t>
  </si>
  <si>
    <t>-I</t>
  </si>
  <si>
    <t> F.Agerer </t>
  </si>
  <si>
    <t>BAVM 201 </t>
  </si>
  <si>
    <t>2455310.4342 </t>
  </si>
  <si>
    <t> 23.04.2010 22:25 </t>
  </si>
  <si>
    <t>10056.5</t>
  </si>
  <si>
    <t> -0.1262 </t>
  </si>
  <si>
    <t> J.Trnka </t>
  </si>
  <si>
    <t>OEJV 0137 </t>
  </si>
  <si>
    <t>2455311.8069 </t>
  </si>
  <si>
    <t> 25.04.2010 07:21 </t>
  </si>
  <si>
    <t>10057</t>
  </si>
  <si>
    <t> -0.1326 </t>
  </si>
  <si>
    <t>IBVS 5945 </t>
  </si>
  <si>
    <t>2455722.7964 </t>
  </si>
  <si>
    <t> 10.06.2011 07:06 </t>
  </si>
  <si>
    <t>10206</t>
  </si>
  <si>
    <t> -0.1336 </t>
  </si>
  <si>
    <t>IBVS 5992 </t>
  </si>
  <si>
    <t>2456045.51592 </t>
  </si>
  <si>
    <t> 28.04.2012 00:22 </t>
  </si>
  <si>
    <t>10323</t>
  </si>
  <si>
    <t> -0.13806 </t>
  </si>
  <si>
    <t>OEJV 0160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</si>
</sst>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0" fillId="0" borderId="5" xfId="0" applyFont="1" applyBorder="1">
      <alignment vertical="top"/>
    </xf>
    <xf numFmtId="0" fontId="0" fillId="0" borderId="0" xfId="0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1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5" fillId="0" borderId="0" xfId="0" applyFont="1" applyAlignment="1"/>
    <xf numFmtId="0" fontId="10" fillId="0" borderId="0" xfId="0" applyFont="1">
      <alignment vertical="top"/>
    </xf>
    <xf numFmtId="0" fontId="10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7" fillId="0" borderId="0" xfId="0" applyFont="1">
      <alignment vertical="top"/>
    </xf>
    <xf numFmtId="0" fontId="18" fillId="0" borderId="4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Her - O-C Diagr.</a:t>
            </a:r>
          </a:p>
        </c:rich>
      </c:tx>
      <c:layout>
        <c:manualLayout>
          <c:xMode val="edge"/>
          <c:yMode val="edge"/>
          <c:x val="0.3307397081201425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2427976072296"/>
          <c:y val="0.14723926380368099"/>
          <c:w val="0.7762653288634340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AF-4FB2-8106-0371F14CF0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8">
                  <c:v>-4.1650000006484333E-2</c:v>
                </c:pt>
                <c:pt idx="20">
                  <c:v>-2.275000000372529E-2</c:v>
                </c:pt>
                <c:pt idx="21">
                  <c:v>-7.9874999995809048E-2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AF-4FB2-8106-0371F14CF0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-0.10171249999984866</c:v>
                </c:pt>
                <c:pt idx="27">
                  <c:v>-8.632499999657739E-2</c:v>
                </c:pt>
                <c:pt idx="29">
                  <c:v>-0.12195000000065193</c:v>
                </c:pt>
                <c:pt idx="31">
                  <c:v>-0.13262499999837019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AF-4FB2-8106-0371F14CF0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8">
                  <c:v>-0.1218250000019907</c:v>
                </c:pt>
                <c:pt idx="30">
                  <c:v>-0.12616249999700813</c:v>
                </c:pt>
                <c:pt idx="32">
                  <c:v>-0.13355000000592554</c:v>
                </c:pt>
                <c:pt idx="33">
                  <c:v>-0.13805500000307802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AF-4FB2-8106-0371F14CF0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">
                  <c:v>4.499999999825377E-2</c:v>
                </c:pt>
                <c:pt idx="2">
                  <c:v>3.8749999985157046E-3</c:v>
                </c:pt>
                <c:pt idx="3">
                  <c:v>-8.3800000000337604E-2</c:v>
                </c:pt>
                <c:pt idx="4">
                  <c:v>5.4250000001047738E-2</c:v>
                </c:pt>
                <c:pt idx="5">
                  <c:v>-4.394999999931315E-2</c:v>
                </c:pt>
                <c:pt idx="6">
                  <c:v>-8.5250000000087311E-2</c:v>
                </c:pt>
                <c:pt idx="7">
                  <c:v>-7.4300000000221189E-2</c:v>
                </c:pt>
                <c:pt idx="8">
                  <c:v>-0.11102499999833526</c:v>
                </c:pt>
                <c:pt idx="9">
                  <c:v>8.8700000000244472E-2</c:v>
                </c:pt>
                <c:pt idx="10">
                  <c:v>-5.3025000001071021E-2</c:v>
                </c:pt>
                <c:pt idx="11">
                  <c:v>-5.2925000003597233E-2</c:v>
                </c:pt>
                <c:pt idx="12">
                  <c:v>7.4025000001711305E-2</c:v>
                </c:pt>
                <c:pt idx="13">
                  <c:v>8.8899999995192047E-2</c:v>
                </c:pt>
                <c:pt idx="14">
                  <c:v>1.0249999977531843E-3</c:v>
                </c:pt>
                <c:pt idx="15">
                  <c:v>1.0725000000093132E-2</c:v>
                </c:pt>
                <c:pt idx="16">
                  <c:v>-8.7499999790452421E-4</c:v>
                </c:pt>
                <c:pt idx="17">
                  <c:v>1.1999999987892807E-3</c:v>
                </c:pt>
                <c:pt idx="19">
                  <c:v>-3.1175000003713649E-2</c:v>
                </c:pt>
                <c:pt idx="24">
                  <c:v>-9.5699999998032581E-2</c:v>
                </c:pt>
                <c:pt idx="26">
                  <c:v>-9.997500000463333E-2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AF-4FB2-8106-0371F14CF0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AF-4FB2-8106-0371F14CF0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AF-4FB2-8106-0371F14CF0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8">
                  <c:v>-3.5543551287686798E-2</c:v>
                </c:pt>
                <c:pt idx="19">
                  <c:v>-3.6111977501730175E-2</c:v>
                </c:pt>
                <c:pt idx="20">
                  <c:v>-3.9154729588668197E-2</c:v>
                </c:pt>
                <c:pt idx="21">
                  <c:v>-7.610243350148721E-2</c:v>
                </c:pt>
                <c:pt idx="22">
                  <c:v>-8.3792905809132789E-2</c:v>
                </c:pt>
                <c:pt idx="23">
                  <c:v>-8.3843061063313074E-2</c:v>
                </c:pt>
                <c:pt idx="24">
                  <c:v>-8.9376857441205881E-2</c:v>
                </c:pt>
                <c:pt idx="25">
                  <c:v>-8.96109152940473E-2</c:v>
                </c:pt>
                <c:pt idx="26">
                  <c:v>-9.2820851561586315E-2</c:v>
                </c:pt>
                <c:pt idx="27">
                  <c:v>-0.10238378669196302</c:v>
                </c:pt>
                <c:pt idx="28">
                  <c:v>-0.1110773640832145</c:v>
                </c:pt>
                <c:pt idx="29">
                  <c:v>-0.12368305130052926</c:v>
                </c:pt>
                <c:pt idx="30">
                  <c:v>-0.13232647343760051</c:v>
                </c:pt>
                <c:pt idx="31">
                  <c:v>-0.13234319185566057</c:v>
                </c:pt>
                <c:pt idx="32">
                  <c:v>-0.13732528043757014</c:v>
                </c:pt>
                <c:pt idx="33">
                  <c:v>-0.1412373902636333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AF-4FB2-8106-0371F14C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130368"/>
        <c:axId val="1"/>
      </c:scatterChart>
      <c:valAx>
        <c:axId val="522130368"/>
        <c:scaling>
          <c:orientation val="minMax"/>
          <c:max val="11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467120111930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7470817120622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130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692607003891051E-2"/>
          <c:y val="0.92024539877300615"/>
          <c:w val="0.9455261088472890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 Her - O-C Diagr.</a:t>
            </a:r>
          </a:p>
        </c:rich>
      </c:tx>
      <c:layout>
        <c:manualLayout>
          <c:xMode val="edge"/>
          <c:yMode val="edge"/>
          <c:x val="0.3683414230755401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4678942920199375"/>
          <c:w val="0.82039695763912324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6-4E60-A7BF-AD1B9F28A1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8">
                  <c:v>-4.1650000006484333E-2</c:v>
                </c:pt>
                <c:pt idx="20">
                  <c:v>-2.275000000372529E-2</c:v>
                </c:pt>
                <c:pt idx="21">
                  <c:v>-7.9874999995809048E-2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6-4E60-A7BF-AD1B9F28A1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3">
                  <c:v>-0.10171249999984866</c:v>
                </c:pt>
                <c:pt idx="27">
                  <c:v>-8.632499999657739E-2</c:v>
                </c:pt>
                <c:pt idx="29">
                  <c:v>-0.12195000000065193</c:v>
                </c:pt>
                <c:pt idx="31">
                  <c:v>-0.13262499999837019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D6-4E60-A7BF-AD1B9F28A1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8">
                  <c:v>-0.1218250000019907</c:v>
                </c:pt>
                <c:pt idx="30">
                  <c:v>-0.12616249999700813</c:v>
                </c:pt>
                <c:pt idx="32">
                  <c:v>-0.13355000000592554</c:v>
                </c:pt>
                <c:pt idx="33">
                  <c:v>-0.13805500000307802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6-4E60-A7BF-AD1B9F28A1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">
                  <c:v>4.499999999825377E-2</c:v>
                </c:pt>
                <c:pt idx="2">
                  <c:v>3.8749999985157046E-3</c:v>
                </c:pt>
                <c:pt idx="3">
                  <c:v>-8.3800000000337604E-2</c:v>
                </c:pt>
                <c:pt idx="4">
                  <c:v>5.4250000001047738E-2</c:v>
                </c:pt>
                <c:pt idx="5">
                  <c:v>-4.394999999931315E-2</c:v>
                </c:pt>
                <c:pt idx="6">
                  <c:v>-8.5250000000087311E-2</c:v>
                </c:pt>
                <c:pt idx="7">
                  <c:v>-7.4300000000221189E-2</c:v>
                </c:pt>
                <c:pt idx="8">
                  <c:v>-0.11102499999833526</c:v>
                </c:pt>
                <c:pt idx="9">
                  <c:v>8.8700000000244472E-2</c:v>
                </c:pt>
                <c:pt idx="10">
                  <c:v>-5.3025000001071021E-2</c:v>
                </c:pt>
                <c:pt idx="11">
                  <c:v>-5.2925000003597233E-2</c:v>
                </c:pt>
                <c:pt idx="12">
                  <c:v>7.4025000001711305E-2</c:v>
                </c:pt>
                <c:pt idx="13">
                  <c:v>8.8899999995192047E-2</c:v>
                </c:pt>
                <c:pt idx="14">
                  <c:v>1.0249999977531843E-3</c:v>
                </c:pt>
                <c:pt idx="15">
                  <c:v>1.0725000000093132E-2</c:v>
                </c:pt>
                <c:pt idx="16">
                  <c:v>-8.7499999790452421E-4</c:v>
                </c:pt>
                <c:pt idx="17">
                  <c:v>1.1999999987892807E-3</c:v>
                </c:pt>
                <c:pt idx="19">
                  <c:v>-3.1175000003713649E-2</c:v>
                </c:pt>
                <c:pt idx="24">
                  <c:v>-9.5699999998032581E-2</c:v>
                </c:pt>
                <c:pt idx="26">
                  <c:v>-9.997500000463333E-2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6-4E60-A7BF-AD1B9F28A1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D6-4E60-A7BF-AD1B9F28A1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1">
                    <c:v>3.0000000000000001E-3</c:v>
                  </c:pt>
                  <c:pt idx="22">
                    <c:v>2.4E-2</c:v>
                  </c:pt>
                  <c:pt idx="23">
                    <c:v>1.5E-3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3.0000000000000001E-3</c:v>
                  </c:pt>
                  <c:pt idx="28">
                    <c:v>3.0000000000000001E-3</c:v>
                  </c:pt>
                  <c:pt idx="29">
                    <c:v>5.9999999999999995E-4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D6-4E60-A7BF-AD1B9F28A1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8">
                  <c:v>-3.5543551287686798E-2</c:v>
                </c:pt>
                <c:pt idx="19">
                  <c:v>-3.6111977501730175E-2</c:v>
                </c:pt>
                <c:pt idx="20">
                  <c:v>-3.9154729588668197E-2</c:v>
                </c:pt>
                <c:pt idx="21">
                  <c:v>-7.610243350148721E-2</c:v>
                </c:pt>
                <c:pt idx="22">
                  <c:v>-8.3792905809132789E-2</c:v>
                </c:pt>
                <c:pt idx="23">
                  <c:v>-8.3843061063313074E-2</c:v>
                </c:pt>
                <c:pt idx="24">
                  <c:v>-8.9376857441205881E-2</c:v>
                </c:pt>
                <c:pt idx="25">
                  <c:v>-8.96109152940473E-2</c:v>
                </c:pt>
                <c:pt idx="26">
                  <c:v>-9.2820851561586315E-2</c:v>
                </c:pt>
                <c:pt idx="27">
                  <c:v>-0.10238378669196302</c:v>
                </c:pt>
                <c:pt idx="28">
                  <c:v>-0.1110773640832145</c:v>
                </c:pt>
                <c:pt idx="29">
                  <c:v>-0.12368305130052926</c:v>
                </c:pt>
                <c:pt idx="30">
                  <c:v>-0.13232647343760051</c:v>
                </c:pt>
                <c:pt idx="31">
                  <c:v>-0.13234319185566057</c:v>
                </c:pt>
                <c:pt idx="32">
                  <c:v>-0.13732528043757014</c:v>
                </c:pt>
                <c:pt idx="33">
                  <c:v>-0.1412373902636333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D6-4E60-A7BF-AD1B9F28A10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265</c:v>
                </c:pt>
                <c:pt idx="3">
                  <c:v>384</c:v>
                </c:pt>
                <c:pt idx="4">
                  <c:v>1030</c:v>
                </c:pt>
                <c:pt idx="5">
                  <c:v>1166</c:v>
                </c:pt>
                <c:pt idx="6">
                  <c:v>1170</c:v>
                </c:pt>
                <c:pt idx="7">
                  <c:v>1324</c:v>
                </c:pt>
                <c:pt idx="8">
                  <c:v>1357</c:v>
                </c:pt>
                <c:pt idx="9">
                  <c:v>1444</c:v>
                </c:pt>
                <c:pt idx="10">
                  <c:v>1477</c:v>
                </c:pt>
                <c:pt idx="11">
                  <c:v>1969</c:v>
                </c:pt>
                <c:pt idx="12">
                  <c:v>2003</c:v>
                </c:pt>
                <c:pt idx="13">
                  <c:v>2268</c:v>
                </c:pt>
                <c:pt idx="14">
                  <c:v>3083</c:v>
                </c:pt>
                <c:pt idx="15">
                  <c:v>3087</c:v>
                </c:pt>
                <c:pt idx="16">
                  <c:v>3095</c:v>
                </c:pt>
                <c:pt idx="17">
                  <c:v>3104</c:v>
                </c:pt>
                <c:pt idx="18">
                  <c:v>7162</c:v>
                </c:pt>
                <c:pt idx="19">
                  <c:v>7179</c:v>
                </c:pt>
                <c:pt idx="20">
                  <c:v>7270</c:v>
                </c:pt>
                <c:pt idx="21">
                  <c:v>8375</c:v>
                </c:pt>
                <c:pt idx="22">
                  <c:v>8605</c:v>
                </c:pt>
                <c:pt idx="23">
                  <c:v>8606.5</c:v>
                </c:pt>
                <c:pt idx="24">
                  <c:v>8772</c:v>
                </c:pt>
                <c:pt idx="25">
                  <c:v>8779</c:v>
                </c:pt>
                <c:pt idx="26">
                  <c:v>8875</c:v>
                </c:pt>
                <c:pt idx="27">
                  <c:v>9161</c:v>
                </c:pt>
                <c:pt idx="28">
                  <c:v>9421</c:v>
                </c:pt>
                <c:pt idx="29">
                  <c:v>9798</c:v>
                </c:pt>
                <c:pt idx="30">
                  <c:v>10056.5</c:v>
                </c:pt>
                <c:pt idx="31">
                  <c:v>10057</c:v>
                </c:pt>
                <c:pt idx="32">
                  <c:v>10206</c:v>
                </c:pt>
                <c:pt idx="33">
                  <c:v>10323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0</c:v>
                </c:pt>
                <c:pt idx="22">
                  <c:v>-0.14562500000465661</c:v>
                </c:pt>
                <c:pt idx="25">
                  <c:v>-0.16917499999544816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D6-4E60-A7BF-AD1B9F28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386880"/>
        <c:axId val="1"/>
      </c:scatterChart>
      <c:valAx>
        <c:axId val="4013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9288422280548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138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94232113679852"/>
          <c:y val="0.9204921861831491"/>
          <c:w val="0.8356177167351797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9524</xdr:rowOff>
    </xdr:from>
    <xdr:to>
      <xdr:col>17</xdr:col>
      <xdr:colOff>552449</xdr:colOff>
      <xdr:row>18</xdr:row>
      <xdr:rowOff>114299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44A92D0-A0D7-545B-684D-8B81AB996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0</xdr:row>
      <xdr:rowOff>9525</xdr:rowOff>
    </xdr:from>
    <xdr:to>
      <xdr:col>27</xdr:col>
      <xdr:colOff>323850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468500A-D709-384D-5F0E-3EF69068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027" TargetMode="External"/><Relationship Id="rId1" Type="http://schemas.openxmlformats.org/officeDocument/2006/relationships/hyperlink" Target="http://www.konkoly.hu/cgi-bin/IBVS?5027" TargetMode="External"/><Relationship Id="rId6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95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59</v>
      </c>
      <c r="B1" s="9"/>
      <c r="C1" s="8"/>
    </row>
    <row r="2" spans="1:7" x14ac:dyDescent="0.2">
      <c r="A2" t="s">
        <v>24</v>
      </c>
      <c r="B2" s="12" t="s">
        <v>40</v>
      </c>
    </row>
    <row r="3" spans="1:7" ht="13.5" thickBot="1" x14ac:dyDescent="0.25"/>
    <row r="4" spans="1:7" ht="14.25" thickTop="1" thickBot="1" x14ac:dyDescent="0.25">
      <c r="A4" s="5" t="s">
        <v>0</v>
      </c>
      <c r="C4" s="2">
        <v>27571.465</v>
      </c>
      <c r="D4" s="3">
        <v>2.7583250000000001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>
        <f>+C4</f>
        <v>27571.465</v>
      </c>
    </row>
    <row r="8" spans="1:7" x14ac:dyDescent="0.2">
      <c r="A8" t="s">
        <v>3</v>
      </c>
      <c r="C8">
        <f>+D4</f>
        <v>2.7583250000000001</v>
      </c>
    </row>
    <row r="9" spans="1:7" x14ac:dyDescent="0.2">
      <c r="A9" s="24" t="s">
        <v>43</v>
      </c>
      <c r="B9" s="10"/>
      <c r="C9" s="25">
        <v>-9.5</v>
      </c>
      <c r="D9" s="10" t="s">
        <v>44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16</v>
      </c>
      <c r="B11" s="10"/>
      <c r="C11" s="26">
        <f ca="1">INTERCEPT(INDIRECT($G$11):G992,INDIRECT($F$11):F992)</f>
        <v>0.20393106900517272</v>
      </c>
      <c r="D11" s="11"/>
      <c r="E11" s="10"/>
      <c r="F11" s="27" t="str">
        <f>"F"&amp;E19</f>
        <v>F39</v>
      </c>
      <c r="G11" s="28" t="str">
        <f>"G"&amp;E19</f>
        <v>G39</v>
      </c>
    </row>
    <row r="12" spans="1:7" x14ac:dyDescent="0.2">
      <c r="A12" s="10" t="s">
        <v>17</v>
      </c>
      <c r="B12" s="10"/>
      <c r="C12" s="26">
        <f ca="1">SLOPE(INDIRECT($G$11):G992,INDIRECT($F$11):F992)</f>
        <v>-3.34368361201982E-5</v>
      </c>
      <c r="D12" s="11"/>
      <c r="E12" s="10"/>
    </row>
    <row r="13" spans="1:7" x14ac:dyDescent="0.2">
      <c r="A13" s="10" t="s">
        <v>19</v>
      </c>
      <c r="B13" s="10"/>
      <c r="C13" s="11" t="s">
        <v>14</v>
      </c>
      <c r="D13" s="31" t="s">
        <v>51</v>
      </c>
      <c r="E13" s="25">
        <v>1</v>
      </c>
    </row>
    <row r="14" spans="1:7" x14ac:dyDescent="0.2">
      <c r="A14" s="10"/>
      <c r="B14" s="10"/>
      <c r="C14" s="10"/>
      <c r="D14" s="31" t="s">
        <v>45</v>
      </c>
      <c r="E14" s="32">
        <f ca="1">NOW()+15018.5+$C$9/24</f>
        <v>60354.619175</v>
      </c>
    </row>
    <row r="15" spans="1:7" x14ac:dyDescent="0.2">
      <c r="A15" s="29" t="s">
        <v>18</v>
      </c>
      <c r="B15" s="10"/>
      <c r="C15" s="30">
        <f ca="1">(C7+C11)+(C8+C12)*INT(MAX(F21:F3533))</f>
        <v>56045.512737609737</v>
      </c>
      <c r="D15" s="31" t="s">
        <v>52</v>
      </c>
      <c r="E15" s="32">
        <f ca="1">ROUND(2*(E14-$C$7)/$C$8,0)/2+E13</f>
        <v>11886</v>
      </c>
    </row>
    <row r="16" spans="1:7" x14ac:dyDescent="0.2">
      <c r="A16" s="33" t="s">
        <v>4</v>
      </c>
      <c r="B16" s="10"/>
      <c r="C16" s="34">
        <f ca="1">+C8+C12</f>
        <v>2.7582915631638798</v>
      </c>
      <c r="D16" s="31" t="s">
        <v>46</v>
      </c>
      <c r="E16" s="28">
        <f ca="1">ROUND(2*(E14-$C$15)/$C$16,0)/2+E13</f>
        <v>1563</v>
      </c>
    </row>
    <row r="17" spans="1:21" ht="13.5" thickBot="1" x14ac:dyDescent="0.25">
      <c r="A17" s="31" t="s">
        <v>41</v>
      </c>
      <c r="B17" s="10"/>
      <c r="C17" s="10">
        <f>COUNT(C21:C2191)</f>
        <v>34</v>
      </c>
      <c r="D17" s="31" t="s">
        <v>47</v>
      </c>
      <c r="E17" s="35">
        <f ca="1">+$C$15+$C$16*E16-15018.5-$C$9/24</f>
        <v>45338.618284168217</v>
      </c>
    </row>
    <row r="18" spans="1:21" ht="14.25" thickTop="1" thickBot="1" x14ac:dyDescent="0.25">
      <c r="A18" s="33" t="s">
        <v>5</v>
      </c>
      <c r="B18" s="10"/>
      <c r="C18" s="36">
        <f ca="1">+C15</f>
        <v>56045.512737609737</v>
      </c>
      <c r="D18" s="37">
        <f ca="1">+C16</f>
        <v>2.7582915631638798</v>
      </c>
      <c r="E18" s="38" t="s">
        <v>48</v>
      </c>
    </row>
    <row r="19" spans="1:21" ht="13.5" thickTop="1" x14ac:dyDescent="0.2">
      <c r="A19" s="39" t="s">
        <v>49</v>
      </c>
      <c r="E19" s="40">
        <v>39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32</v>
      </c>
      <c r="J20" s="7" t="s">
        <v>36</v>
      </c>
      <c r="K20" s="7" t="s">
        <v>54</v>
      </c>
      <c r="L20" s="7" t="s">
        <v>70</v>
      </c>
      <c r="M20" s="7" t="s">
        <v>62</v>
      </c>
      <c r="N20" s="7" t="s">
        <v>25</v>
      </c>
      <c r="O20" s="7" t="s">
        <v>23</v>
      </c>
      <c r="P20" s="6" t="s">
        <v>22</v>
      </c>
      <c r="Q20" s="4" t="s">
        <v>15</v>
      </c>
      <c r="U20" s="47" t="s">
        <v>58</v>
      </c>
    </row>
    <row r="21" spans="1:21" s="14" customFormat="1" ht="12.75" customHeight="1" x14ac:dyDescent="0.2">
      <c r="A21" s="14" t="s">
        <v>12</v>
      </c>
      <c r="C21" s="15">
        <v>27571.465</v>
      </c>
      <c r="D21" s="15" t="s">
        <v>14</v>
      </c>
      <c r="E21" s="14">
        <f t="shared" ref="E21:E54" si="0">+(C21-C$7)/C$8</f>
        <v>0</v>
      </c>
      <c r="F21" s="14">
        <f t="shared" ref="F21:F54" si="1">ROUND(2*E21,0)/2</f>
        <v>0</v>
      </c>
      <c r="Q21" s="17">
        <f t="shared" ref="Q21:Q54" si="2">+C21-15018.5</f>
        <v>12552.965</v>
      </c>
      <c r="U21" s="16">
        <v>0</v>
      </c>
    </row>
    <row r="22" spans="1:21" s="14" customFormat="1" ht="12.75" customHeight="1" x14ac:dyDescent="0.2">
      <c r="A22" s="61" t="s">
        <v>76</v>
      </c>
      <c r="B22" s="62" t="s">
        <v>34</v>
      </c>
      <c r="C22" s="61">
        <v>27571.51</v>
      </c>
      <c r="D22" s="61" t="s">
        <v>70</v>
      </c>
      <c r="E22" s="14">
        <f t="shared" si="0"/>
        <v>1.631424868289769E-2</v>
      </c>
      <c r="F22" s="14">
        <f t="shared" si="1"/>
        <v>0</v>
      </c>
      <c r="G22" s="14">
        <f t="shared" ref="G22:G42" si="3">+C22-(C$7+F22*C$8)</f>
        <v>4.499999999825377E-2</v>
      </c>
      <c r="L22" s="14">
        <f>+G22</f>
        <v>4.499999999825377E-2</v>
      </c>
      <c r="Q22" s="17">
        <f t="shared" si="2"/>
        <v>12553.009999999998</v>
      </c>
    </row>
    <row r="23" spans="1:21" s="14" customFormat="1" ht="12.75" customHeight="1" x14ac:dyDescent="0.2">
      <c r="A23" s="61" t="s">
        <v>76</v>
      </c>
      <c r="B23" s="62" t="s">
        <v>34</v>
      </c>
      <c r="C23" s="61">
        <v>28302.424999999999</v>
      </c>
      <c r="D23" s="61" t="s">
        <v>70</v>
      </c>
      <c r="E23" s="14">
        <f t="shared" si="0"/>
        <v>265.00140483808076</v>
      </c>
      <c r="F23" s="14">
        <f t="shared" si="1"/>
        <v>265</v>
      </c>
      <c r="G23" s="14">
        <f t="shared" si="3"/>
        <v>3.8749999985157046E-3</v>
      </c>
      <c r="L23" s="14">
        <f>+G23</f>
        <v>3.8749999985157046E-3</v>
      </c>
      <c r="Q23" s="17">
        <f t="shared" si="2"/>
        <v>13283.924999999999</v>
      </c>
    </row>
    <row r="24" spans="1:21" s="14" customFormat="1" ht="12.75" customHeight="1" x14ac:dyDescent="0.2">
      <c r="A24" s="61" t="s">
        <v>76</v>
      </c>
      <c r="B24" s="62" t="s">
        <v>34</v>
      </c>
      <c r="C24" s="61">
        <v>28630.578000000001</v>
      </c>
      <c r="D24" s="61" t="s">
        <v>70</v>
      </c>
      <c r="E24" s="14">
        <f t="shared" si="0"/>
        <v>383.9696192435631</v>
      </c>
      <c r="F24" s="14">
        <f t="shared" si="1"/>
        <v>384</v>
      </c>
      <c r="G24" s="14">
        <f t="shared" si="3"/>
        <v>-8.3800000000337604E-2</v>
      </c>
      <c r="L24" s="14">
        <f>+G24</f>
        <v>-8.3800000000337604E-2</v>
      </c>
      <c r="Q24" s="17">
        <f t="shared" si="2"/>
        <v>13612.078000000001</v>
      </c>
    </row>
    <row r="25" spans="1:21" s="14" customFormat="1" ht="12.75" customHeight="1" x14ac:dyDescent="0.2">
      <c r="A25" s="61" t="s">
        <v>76</v>
      </c>
      <c r="B25" s="62" t="s">
        <v>34</v>
      </c>
      <c r="C25" s="61">
        <v>30412.594000000001</v>
      </c>
      <c r="D25" s="61" t="s">
        <v>70</v>
      </c>
      <c r="E25" s="14">
        <f t="shared" si="0"/>
        <v>1030.0196677331353</v>
      </c>
      <c r="F25" s="14">
        <f t="shared" si="1"/>
        <v>1030</v>
      </c>
      <c r="G25" s="14">
        <f t="shared" si="3"/>
        <v>5.4250000001047738E-2</v>
      </c>
      <c r="L25" s="14">
        <f>+G25</f>
        <v>5.4250000001047738E-2</v>
      </c>
      <c r="Q25" s="17">
        <f t="shared" si="2"/>
        <v>15394.094000000001</v>
      </c>
    </row>
    <row r="26" spans="1:21" s="14" customFormat="1" ht="12.75" customHeight="1" x14ac:dyDescent="0.2">
      <c r="A26" s="61" t="s">
        <v>76</v>
      </c>
      <c r="B26" s="62" t="s">
        <v>34</v>
      </c>
      <c r="C26" s="61">
        <v>30787.628000000001</v>
      </c>
      <c r="D26" s="61" t="s">
        <v>70</v>
      </c>
      <c r="E26" s="14">
        <f t="shared" si="0"/>
        <v>1165.9840664171193</v>
      </c>
      <c r="F26" s="14">
        <f t="shared" si="1"/>
        <v>1166</v>
      </c>
      <c r="G26" s="14">
        <f t="shared" si="3"/>
        <v>-4.394999999931315E-2</v>
      </c>
      <c r="L26" s="14">
        <f>+G26</f>
        <v>-4.394999999931315E-2</v>
      </c>
      <c r="Q26" s="17">
        <f t="shared" si="2"/>
        <v>15769.128000000001</v>
      </c>
    </row>
    <row r="27" spans="1:21" s="14" customFormat="1" ht="12.75" customHeight="1" x14ac:dyDescent="0.2">
      <c r="A27" s="61" t="s">
        <v>76</v>
      </c>
      <c r="B27" s="62" t="s">
        <v>34</v>
      </c>
      <c r="C27" s="61">
        <v>30798.62</v>
      </c>
      <c r="D27" s="61" t="s">
        <v>70</v>
      </c>
      <c r="E27" s="14">
        <f t="shared" si="0"/>
        <v>1169.9690935622157</v>
      </c>
      <c r="F27" s="14">
        <f t="shared" si="1"/>
        <v>1170</v>
      </c>
      <c r="G27" s="14">
        <f t="shared" si="3"/>
        <v>-8.5250000000087311E-2</v>
      </c>
      <c r="L27" s="14">
        <f>+G27</f>
        <v>-8.5250000000087311E-2</v>
      </c>
      <c r="Q27" s="17">
        <f t="shared" si="2"/>
        <v>15780.119999999999</v>
      </c>
    </row>
    <row r="28" spans="1:21" s="14" customFormat="1" ht="12.75" customHeight="1" x14ac:dyDescent="0.2">
      <c r="A28" s="61" t="s">
        <v>76</v>
      </c>
      <c r="B28" s="62" t="s">
        <v>34</v>
      </c>
      <c r="C28" s="61">
        <v>31223.413</v>
      </c>
      <c r="D28" s="61" t="s">
        <v>70</v>
      </c>
      <c r="E28" s="14">
        <f t="shared" si="0"/>
        <v>1323.9730633627291</v>
      </c>
      <c r="F28" s="14">
        <f t="shared" si="1"/>
        <v>1324</v>
      </c>
      <c r="G28" s="14">
        <f t="shared" si="3"/>
        <v>-7.4300000000221189E-2</v>
      </c>
      <c r="L28" s="14">
        <f>+G28</f>
        <v>-7.4300000000221189E-2</v>
      </c>
      <c r="Q28" s="17">
        <f t="shared" si="2"/>
        <v>16204.913</v>
      </c>
    </row>
    <row r="29" spans="1:21" s="14" customFormat="1" ht="12.75" customHeight="1" x14ac:dyDescent="0.2">
      <c r="A29" s="61" t="s">
        <v>76</v>
      </c>
      <c r="B29" s="62" t="s">
        <v>34</v>
      </c>
      <c r="C29" s="61">
        <v>31314.401000000002</v>
      </c>
      <c r="D29" s="61" t="s">
        <v>70</v>
      </c>
      <c r="E29" s="14">
        <f t="shared" si="0"/>
        <v>1356.9597491231095</v>
      </c>
      <c r="F29" s="14">
        <f t="shared" si="1"/>
        <v>1357</v>
      </c>
      <c r="G29" s="14">
        <f t="shared" si="3"/>
        <v>-0.11102499999833526</v>
      </c>
      <c r="L29" s="14">
        <f>+G29</f>
        <v>-0.11102499999833526</v>
      </c>
      <c r="Q29" s="17">
        <f t="shared" si="2"/>
        <v>16295.901000000002</v>
      </c>
    </row>
    <row r="30" spans="1:21" s="14" customFormat="1" ht="12.75" customHeight="1" x14ac:dyDescent="0.2">
      <c r="A30" s="61" t="s">
        <v>76</v>
      </c>
      <c r="B30" s="62" t="s">
        <v>34</v>
      </c>
      <c r="C30" s="61">
        <v>31554.575000000001</v>
      </c>
      <c r="D30" s="61" t="s">
        <v>70</v>
      </c>
      <c r="E30" s="14">
        <f t="shared" si="0"/>
        <v>1444.0321571968498</v>
      </c>
      <c r="F30" s="14">
        <f t="shared" si="1"/>
        <v>1444</v>
      </c>
      <c r="G30" s="14">
        <f t="shared" si="3"/>
        <v>8.8700000000244472E-2</v>
      </c>
      <c r="L30" s="14">
        <f>+G30</f>
        <v>8.8700000000244472E-2</v>
      </c>
      <c r="Q30" s="17">
        <f t="shared" si="2"/>
        <v>16536.075000000001</v>
      </c>
    </row>
    <row r="31" spans="1:21" s="14" customFormat="1" ht="12.75" customHeight="1" x14ac:dyDescent="0.2">
      <c r="A31" s="61" t="s">
        <v>76</v>
      </c>
      <c r="B31" s="62" t="s">
        <v>34</v>
      </c>
      <c r="C31" s="61">
        <v>31645.457999999999</v>
      </c>
      <c r="D31" s="61" t="s">
        <v>70</v>
      </c>
      <c r="E31" s="14">
        <f t="shared" si="0"/>
        <v>1476.9807763769672</v>
      </c>
      <c r="F31" s="14">
        <f t="shared" si="1"/>
        <v>1477</v>
      </c>
      <c r="G31" s="14">
        <f t="shared" si="3"/>
        <v>-5.3025000001071021E-2</v>
      </c>
      <c r="L31" s="14">
        <f>+G31</f>
        <v>-5.3025000001071021E-2</v>
      </c>
      <c r="Q31" s="17">
        <f t="shared" si="2"/>
        <v>16626.957999999999</v>
      </c>
    </row>
    <row r="32" spans="1:21" x14ac:dyDescent="0.2">
      <c r="A32" s="61" t="s">
        <v>76</v>
      </c>
      <c r="B32" s="62" t="s">
        <v>34</v>
      </c>
      <c r="C32" s="61">
        <v>33002.553999999996</v>
      </c>
      <c r="D32" s="61" t="s">
        <v>70</v>
      </c>
      <c r="E32" s="14">
        <f t="shared" si="0"/>
        <v>1968.9808126308524</v>
      </c>
      <c r="F32" s="14">
        <f t="shared" si="1"/>
        <v>1969</v>
      </c>
      <c r="G32" s="14">
        <f t="shared" si="3"/>
        <v>-5.2925000003597233E-2</v>
      </c>
      <c r="H32" s="14"/>
      <c r="I32" s="14"/>
      <c r="J32" s="14"/>
      <c r="L32" s="14">
        <f>+G32</f>
        <v>-5.2925000003597233E-2</v>
      </c>
      <c r="M32" s="14"/>
      <c r="O32" s="14"/>
      <c r="P32" s="14"/>
      <c r="Q32" s="17">
        <f t="shared" si="2"/>
        <v>17984.053999999996</v>
      </c>
    </row>
    <row r="33" spans="1:31" x14ac:dyDescent="0.2">
      <c r="A33" s="61" t="s">
        <v>76</v>
      </c>
      <c r="B33" s="62" t="s">
        <v>34</v>
      </c>
      <c r="C33" s="61">
        <v>33096.464</v>
      </c>
      <c r="D33" s="61" t="s">
        <v>70</v>
      </c>
      <c r="E33" s="14">
        <f t="shared" si="0"/>
        <v>2003.0268369390842</v>
      </c>
      <c r="F33" s="14">
        <f t="shared" si="1"/>
        <v>2003</v>
      </c>
      <c r="G33" s="14">
        <f t="shared" si="3"/>
        <v>7.4025000001711305E-2</v>
      </c>
      <c r="H33" s="14"/>
      <c r="I33" s="14"/>
      <c r="J33" s="14"/>
      <c r="L33" s="14">
        <f>+G33</f>
        <v>7.4025000001711305E-2</v>
      </c>
      <c r="M33" s="14"/>
      <c r="O33" s="14"/>
      <c r="P33" s="14"/>
      <c r="Q33" s="17">
        <f t="shared" si="2"/>
        <v>18077.964</v>
      </c>
    </row>
    <row r="34" spans="1:31" x14ac:dyDescent="0.2">
      <c r="A34" s="61" t="s">
        <v>111</v>
      </c>
      <c r="B34" s="62" t="s">
        <v>34</v>
      </c>
      <c r="C34" s="61">
        <v>33827.434999999998</v>
      </c>
      <c r="D34" s="61" t="s">
        <v>70</v>
      </c>
      <c r="E34" s="14">
        <f t="shared" si="0"/>
        <v>2268.0322297046205</v>
      </c>
      <c r="F34" s="14">
        <f t="shared" si="1"/>
        <v>2268</v>
      </c>
      <c r="G34" s="14">
        <f t="shared" si="3"/>
        <v>8.8899999995192047E-2</v>
      </c>
      <c r="H34" s="14"/>
      <c r="I34" s="14"/>
      <c r="J34" s="14"/>
      <c r="L34" s="14">
        <f>+G34</f>
        <v>8.8899999995192047E-2</v>
      </c>
      <c r="M34" s="14"/>
      <c r="O34" s="14"/>
      <c r="P34" s="14"/>
      <c r="Q34" s="17">
        <f t="shared" si="2"/>
        <v>18808.934999999998</v>
      </c>
    </row>
    <row r="35" spans="1:31" x14ac:dyDescent="0.2">
      <c r="A35" s="61" t="s">
        <v>111</v>
      </c>
      <c r="B35" s="62" t="s">
        <v>34</v>
      </c>
      <c r="C35" s="61">
        <v>36075.381999999998</v>
      </c>
      <c r="D35" s="61" t="s">
        <v>70</v>
      </c>
      <c r="E35" s="14">
        <f t="shared" si="0"/>
        <v>3083.0003716023302</v>
      </c>
      <c r="F35" s="14">
        <f t="shared" si="1"/>
        <v>3083</v>
      </c>
      <c r="G35" s="14">
        <f t="shared" si="3"/>
        <v>1.0249999977531843E-3</v>
      </c>
      <c r="H35" s="14"/>
      <c r="I35" s="14"/>
      <c r="J35" s="14"/>
      <c r="L35" s="14">
        <f>+G35</f>
        <v>1.0249999977531843E-3</v>
      </c>
      <c r="M35" s="14"/>
      <c r="O35" s="14"/>
      <c r="P35" s="14"/>
      <c r="Q35" s="17">
        <f t="shared" si="2"/>
        <v>21056.881999999998</v>
      </c>
    </row>
    <row r="36" spans="1:31" x14ac:dyDescent="0.2">
      <c r="A36" s="61" t="s">
        <v>111</v>
      </c>
      <c r="B36" s="62" t="s">
        <v>34</v>
      </c>
      <c r="C36" s="61">
        <v>36086.425000000003</v>
      </c>
      <c r="D36" s="61" t="s">
        <v>70</v>
      </c>
      <c r="E36" s="14">
        <f t="shared" si="0"/>
        <v>3087.0038882292706</v>
      </c>
      <c r="F36" s="14">
        <f t="shared" si="1"/>
        <v>3087</v>
      </c>
      <c r="G36" s="14">
        <f t="shared" si="3"/>
        <v>1.0725000000093132E-2</v>
      </c>
      <c r="H36" s="14"/>
      <c r="I36" s="14"/>
      <c r="J36" s="14"/>
      <c r="L36" s="14">
        <f>+G36</f>
        <v>1.0725000000093132E-2</v>
      </c>
      <c r="M36" s="14"/>
      <c r="O36" s="14"/>
      <c r="P36" s="14"/>
      <c r="Q36" s="17">
        <f t="shared" si="2"/>
        <v>21067.925000000003</v>
      </c>
    </row>
    <row r="37" spans="1:31" x14ac:dyDescent="0.2">
      <c r="A37" s="61" t="s">
        <v>111</v>
      </c>
      <c r="B37" s="62" t="s">
        <v>34</v>
      </c>
      <c r="C37" s="61">
        <v>36108.480000000003</v>
      </c>
      <c r="D37" s="61" t="s">
        <v>70</v>
      </c>
      <c r="E37" s="14">
        <f t="shared" si="0"/>
        <v>3094.9996827784989</v>
      </c>
      <c r="F37" s="14">
        <f t="shared" si="1"/>
        <v>3095</v>
      </c>
      <c r="G37" s="14">
        <f t="shared" si="3"/>
        <v>-8.7499999790452421E-4</v>
      </c>
      <c r="H37" s="14"/>
      <c r="I37" s="14"/>
      <c r="J37" s="14"/>
      <c r="L37" s="14">
        <f>+G37</f>
        <v>-8.7499999790452421E-4</v>
      </c>
      <c r="M37" s="14"/>
      <c r="O37" s="14"/>
      <c r="P37" s="14"/>
      <c r="Q37" s="17">
        <f t="shared" si="2"/>
        <v>21089.980000000003</v>
      </c>
    </row>
    <row r="38" spans="1:31" x14ac:dyDescent="0.2">
      <c r="A38" s="61" t="s">
        <v>111</v>
      </c>
      <c r="B38" s="62" t="s">
        <v>34</v>
      </c>
      <c r="C38" s="61">
        <v>36133.307000000001</v>
      </c>
      <c r="D38" s="61" t="s">
        <v>70</v>
      </c>
      <c r="E38" s="14">
        <f t="shared" si="0"/>
        <v>3104.0004350466315</v>
      </c>
      <c r="F38" s="14">
        <f t="shared" si="1"/>
        <v>3104</v>
      </c>
      <c r="G38" s="14">
        <f t="shared" si="3"/>
        <v>1.1999999987892807E-3</v>
      </c>
      <c r="H38" s="14"/>
      <c r="I38" s="14"/>
      <c r="J38" s="14"/>
      <c r="L38" s="14">
        <f>+G38</f>
        <v>1.1999999987892807E-3</v>
      </c>
      <c r="M38" s="14"/>
      <c r="O38" s="14"/>
      <c r="P38" s="14"/>
      <c r="Q38" s="17">
        <f t="shared" si="2"/>
        <v>21114.807000000001</v>
      </c>
    </row>
    <row r="39" spans="1:31" s="14" customFormat="1" ht="12.75" customHeight="1" x14ac:dyDescent="0.2">
      <c r="A39" s="14" t="s">
        <v>27</v>
      </c>
      <c r="C39" s="15">
        <v>47326.546999999999</v>
      </c>
      <c r="D39" s="15"/>
      <c r="E39" s="14">
        <f t="shared" si="0"/>
        <v>7161.9849002564952</v>
      </c>
      <c r="F39" s="14">
        <f t="shared" si="1"/>
        <v>7162</v>
      </c>
      <c r="G39" s="14">
        <f t="shared" si="3"/>
        <v>-4.1650000006484333E-2</v>
      </c>
      <c r="I39" s="14">
        <f>+G39</f>
        <v>-4.1650000006484333E-2</v>
      </c>
      <c r="O39" s="14">
        <f t="shared" ref="O39:O54" ca="1" si="4">+C$11+C$12*F39</f>
        <v>-3.5543551287686798E-2</v>
      </c>
      <c r="Q39" s="17">
        <f t="shared" si="2"/>
        <v>32308.046999999999</v>
      </c>
      <c r="AA39" s="14">
        <v>7</v>
      </c>
      <c r="AC39" s="14" t="s">
        <v>26</v>
      </c>
      <c r="AE39" s="14" t="s">
        <v>28</v>
      </c>
    </row>
    <row r="40" spans="1:31" x14ac:dyDescent="0.2">
      <c r="A40" s="61" t="s">
        <v>133</v>
      </c>
      <c r="B40" s="62" t="s">
        <v>34</v>
      </c>
      <c r="C40" s="61">
        <v>47373.449000000001</v>
      </c>
      <c r="D40" s="61" t="s">
        <v>70</v>
      </c>
      <c r="E40" s="14">
        <f t="shared" si="0"/>
        <v>7178.9886978510503</v>
      </c>
      <c r="F40" s="14">
        <f t="shared" si="1"/>
        <v>7179</v>
      </c>
      <c r="G40" s="14">
        <f t="shared" si="3"/>
        <v>-3.1175000003713649E-2</v>
      </c>
      <c r="H40" s="14"/>
      <c r="I40" s="14"/>
      <c r="J40" s="14"/>
      <c r="L40" s="14">
        <f>+G40</f>
        <v>-3.1175000003713649E-2</v>
      </c>
      <c r="M40" s="14"/>
      <c r="O40" s="14">
        <f t="shared" ca="1" si="4"/>
        <v>-3.6111977501730175E-2</v>
      </c>
      <c r="P40" s="14"/>
      <c r="Q40" s="17">
        <f t="shared" si="2"/>
        <v>32354.949000000001</v>
      </c>
    </row>
    <row r="41" spans="1:31" s="14" customFormat="1" ht="12.75" customHeight="1" x14ac:dyDescent="0.2">
      <c r="A41" s="14" t="s">
        <v>29</v>
      </c>
      <c r="C41" s="15">
        <v>47624.464999999997</v>
      </c>
      <c r="D41" s="15"/>
      <c r="E41" s="14">
        <f t="shared" si="0"/>
        <v>7269.9917522409414</v>
      </c>
      <c r="F41" s="14">
        <f t="shared" si="1"/>
        <v>7270</v>
      </c>
      <c r="G41" s="14">
        <f t="shared" si="3"/>
        <v>-2.275000000372529E-2</v>
      </c>
      <c r="I41" s="14">
        <f>+G41</f>
        <v>-2.275000000372529E-2</v>
      </c>
      <c r="O41" s="14">
        <f t="shared" ca="1" si="4"/>
        <v>-3.9154729588668197E-2</v>
      </c>
      <c r="Q41" s="17">
        <f t="shared" si="2"/>
        <v>32605.964999999997</v>
      </c>
      <c r="AA41" s="14">
        <v>7</v>
      </c>
      <c r="AC41" s="14" t="s">
        <v>26</v>
      </c>
      <c r="AE41" s="14" t="s">
        <v>28</v>
      </c>
    </row>
    <row r="42" spans="1:31" s="14" customFormat="1" ht="12.75" customHeight="1" x14ac:dyDescent="0.2">
      <c r="A42" s="14" t="s">
        <v>31</v>
      </c>
      <c r="C42" s="15">
        <v>50672.357000000004</v>
      </c>
      <c r="D42" s="15">
        <v>3.0000000000000001E-3</v>
      </c>
      <c r="E42" s="14">
        <f t="shared" si="0"/>
        <v>8374.9710422085882</v>
      </c>
      <c r="F42" s="14">
        <f t="shared" si="1"/>
        <v>8375</v>
      </c>
      <c r="G42" s="14">
        <f t="shared" si="3"/>
        <v>-7.9874999995809048E-2</v>
      </c>
      <c r="I42" s="14">
        <f>+G42</f>
        <v>-7.9874999995809048E-2</v>
      </c>
      <c r="O42" s="14">
        <f t="shared" ca="1" si="4"/>
        <v>-7.610243350148721E-2</v>
      </c>
      <c r="Q42" s="17">
        <f t="shared" si="2"/>
        <v>35653.857000000004</v>
      </c>
      <c r="AA42" s="14">
        <v>11</v>
      </c>
      <c r="AC42" s="14" t="s">
        <v>30</v>
      </c>
      <c r="AE42" s="14" t="s">
        <v>28</v>
      </c>
    </row>
    <row r="43" spans="1:31" s="14" customFormat="1" ht="12.75" customHeight="1" x14ac:dyDescent="0.2">
      <c r="A43" s="14" t="s">
        <v>33</v>
      </c>
      <c r="B43" s="18" t="s">
        <v>34</v>
      </c>
      <c r="C43" s="15">
        <v>51306.705999999998</v>
      </c>
      <c r="D43" s="15">
        <v>2.4E-2</v>
      </c>
      <c r="E43" s="14">
        <f t="shared" si="0"/>
        <v>8604.9472052785641</v>
      </c>
      <c r="F43" s="14">
        <f t="shared" si="1"/>
        <v>8605</v>
      </c>
      <c r="O43" s="14">
        <f t="shared" ca="1" si="4"/>
        <v>-8.3792905809132789E-2</v>
      </c>
      <c r="Q43" s="17">
        <f t="shared" si="2"/>
        <v>36288.205999999998</v>
      </c>
      <c r="U43" s="14">
        <f>+C43-(C$7+F43*C$8)</f>
        <v>-0.14562500000465661</v>
      </c>
    </row>
    <row r="44" spans="1:31" s="14" customFormat="1" ht="12.75" customHeight="1" x14ac:dyDescent="0.2">
      <c r="A44" s="14" t="s">
        <v>33</v>
      </c>
      <c r="B44" s="18" t="s">
        <v>35</v>
      </c>
      <c r="C44" s="15">
        <v>51310.8874</v>
      </c>
      <c r="D44" s="15">
        <v>1.5E-3</v>
      </c>
      <c r="E44" s="14">
        <f t="shared" si="0"/>
        <v>8606.4631252662384</v>
      </c>
      <c r="F44" s="14">
        <f t="shared" si="1"/>
        <v>8606.5</v>
      </c>
      <c r="G44" s="14">
        <f>+C44-(C$7+F44*C$8)</f>
        <v>-0.10171249999984866</v>
      </c>
      <c r="J44" s="14">
        <f>+G44</f>
        <v>-0.10171249999984866</v>
      </c>
      <c r="O44" s="14">
        <f t="shared" ca="1" si="4"/>
        <v>-8.3843061063313074E-2</v>
      </c>
      <c r="Q44" s="17">
        <f t="shared" si="2"/>
        <v>36292.3874</v>
      </c>
    </row>
    <row r="45" spans="1:31" x14ac:dyDescent="0.2">
      <c r="A45" s="61" t="s">
        <v>155</v>
      </c>
      <c r="B45" s="62" t="s">
        <v>34</v>
      </c>
      <c r="C45" s="61">
        <v>51767.396200000003</v>
      </c>
      <c r="D45" s="61" t="s">
        <v>70</v>
      </c>
      <c r="E45" s="14">
        <f t="shared" si="0"/>
        <v>8771.9653050311335</v>
      </c>
      <c r="F45" s="14">
        <f t="shared" si="1"/>
        <v>8772</v>
      </c>
      <c r="G45" s="14">
        <f>+C45-(C$7+F45*C$8)</f>
        <v>-9.5699999998032581E-2</v>
      </c>
      <c r="H45" s="14"/>
      <c r="I45" s="14"/>
      <c r="J45" s="14"/>
      <c r="L45" s="14">
        <f>+G45</f>
        <v>-9.5699999998032581E-2</v>
      </c>
      <c r="M45" s="14"/>
      <c r="O45" s="14">
        <f t="shared" ca="1" si="4"/>
        <v>-8.9376857441205881E-2</v>
      </c>
      <c r="P45" s="14"/>
      <c r="Q45" s="17">
        <f t="shared" si="2"/>
        <v>36748.896200000003</v>
      </c>
    </row>
    <row r="46" spans="1:31" s="14" customFormat="1" ht="12.75" customHeight="1" x14ac:dyDescent="0.2">
      <c r="A46" s="14" t="s">
        <v>37</v>
      </c>
      <c r="B46" s="18" t="s">
        <v>34</v>
      </c>
      <c r="C46" s="15">
        <v>51786.631000000001</v>
      </c>
      <c r="D46" s="15" t="s">
        <v>38</v>
      </c>
      <c r="E46" s="14">
        <f t="shared" si="0"/>
        <v>8778.9386674884208</v>
      </c>
      <c r="F46" s="14">
        <f t="shared" si="1"/>
        <v>8779</v>
      </c>
      <c r="N46" s="19"/>
      <c r="O46" s="14">
        <f t="shared" ca="1" si="4"/>
        <v>-8.96109152940473E-2</v>
      </c>
      <c r="Q46" s="17">
        <f t="shared" si="2"/>
        <v>36768.131000000001</v>
      </c>
      <c r="U46" s="14">
        <f>+C46-(C$7+F46*C$8)</f>
        <v>-0.16917499999544816</v>
      </c>
    </row>
    <row r="47" spans="1:31" x14ac:dyDescent="0.2">
      <c r="A47" s="61" t="s">
        <v>159</v>
      </c>
      <c r="B47" s="62" t="s">
        <v>34</v>
      </c>
      <c r="C47" s="61">
        <v>52051.499400000001</v>
      </c>
      <c r="D47" s="61" t="s">
        <v>70</v>
      </c>
      <c r="E47" s="14">
        <f t="shared" si="0"/>
        <v>8874.9637551775086</v>
      </c>
      <c r="F47" s="14">
        <f t="shared" si="1"/>
        <v>8875</v>
      </c>
      <c r="G47" s="14">
        <f t="shared" ref="G47:G54" si="5">+C47-(C$7+F47*C$8)</f>
        <v>-9.997500000463333E-2</v>
      </c>
      <c r="H47" s="14"/>
      <c r="I47" s="14"/>
      <c r="J47" s="14"/>
      <c r="L47" s="14">
        <f>+G47</f>
        <v>-9.997500000463333E-2</v>
      </c>
      <c r="M47" s="14"/>
      <c r="O47" s="14">
        <f t="shared" ca="1" si="4"/>
        <v>-9.2820851561586315E-2</v>
      </c>
      <c r="P47" s="14"/>
      <c r="Q47" s="17">
        <f t="shared" si="2"/>
        <v>37032.999400000001</v>
      </c>
    </row>
    <row r="48" spans="1:31" s="14" customFormat="1" ht="12.75" customHeight="1" x14ac:dyDescent="0.2">
      <c r="A48" s="20" t="s">
        <v>39</v>
      </c>
      <c r="B48" s="18" t="s">
        <v>34</v>
      </c>
      <c r="C48" s="15">
        <v>52840.394</v>
      </c>
      <c r="D48" s="21">
        <v>3.0000000000000001E-3</v>
      </c>
      <c r="E48" s="14">
        <f t="shared" si="0"/>
        <v>9160.9687038329412</v>
      </c>
      <c r="F48" s="14">
        <f t="shared" si="1"/>
        <v>9161</v>
      </c>
      <c r="G48" s="14">
        <f t="shared" si="5"/>
        <v>-8.632499999657739E-2</v>
      </c>
      <c r="J48" s="14">
        <f>+G48</f>
        <v>-8.632499999657739E-2</v>
      </c>
      <c r="N48" s="19"/>
      <c r="O48" s="14">
        <f t="shared" ca="1" si="4"/>
        <v>-0.10238378669196302</v>
      </c>
      <c r="Q48" s="17">
        <f t="shared" si="2"/>
        <v>37821.894</v>
      </c>
    </row>
    <row r="49" spans="1:17" s="14" customFormat="1" ht="12.75" customHeight="1" x14ac:dyDescent="0.2">
      <c r="A49" s="43" t="s">
        <v>56</v>
      </c>
      <c r="B49" s="44" t="s">
        <v>34</v>
      </c>
      <c r="C49" s="43">
        <v>53557.523000000001</v>
      </c>
      <c r="D49" s="43">
        <v>3.0000000000000001E-3</v>
      </c>
      <c r="E49" s="14">
        <f t="shared" si="0"/>
        <v>9420.955833703425</v>
      </c>
      <c r="F49" s="14">
        <f t="shared" si="1"/>
        <v>9421</v>
      </c>
      <c r="G49" s="14">
        <f t="shared" si="5"/>
        <v>-0.1218250000019907</v>
      </c>
      <c r="K49" s="14">
        <f>+G49</f>
        <v>-0.1218250000019907</v>
      </c>
      <c r="N49" s="19"/>
      <c r="O49" s="14">
        <f t="shared" ca="1" si="4"/>
        <v>-0.1110773640832145</v>
      </c>
      <c r="Q49" s="17">
        <f t="shared" si="2"/>
        <v>38539.023000000001</v>
      </c>
    </row>
    <row r="50" spans="1:17" s="14" customFormat="1" ht="12.75" customHeight="1" x14ac:dyDescent="0.2">
      <c r="A50" s="41" t="s">
        <v>42</v>
      </c>
      <c r="B50" s="42" t="s">
        <v>34</v>
      </c>
      <c r="C50" s="41">
        <v>54597.411399999997</v>
      </c>
      <c r="D50" s="41">
        <v>5.9999999999999995E-4</v>
      </c>
      <c r="E50" s="14">
        <f t="shared" si="0"/>
        <v>9797.9557883860653</v>
      </c>
      <c r="F50" s="14">
        <f t="shared" si="1"/>
        <v>9798</v>
      </c>
      <c r="G50" s="14">
        <f t="shared" si="5"/>
        <v>-0.12195000000065193</v>
      </c>
      <c r="J50" s="14">
        <f>+G50</f>
        <v>-0.12195000000065193</v>
      </c>
      <c r="N50" s="19"/>
      <c r="O50" s="14">
        <f t="shared" ca="1" si="4"/>
        <v>-0.12368305130052926</v>
      </c>
      <c r="Q50" s="17">
        <f t="shared" si="2"/>
        <v>39578.911399999997</v>
      </c>
    </row>
    <row r="51" spans="1:17" s="14" customFormat="1" ht="12.75" customHeight="1" x14ac:dyDescent="0.2">
      <c r="A51" s="46" t="s">
        <v>53</v>
      </c>
      <c r="B51" s="42" t="s">
        <v>35</v>
      </c>
      <c r="C51" s="41">
        <v>55310.434200000003</v>
      </c>
      <c r="D51" s="41">
        <v>2.0000000000000001E-4</v>
      </c>
      <c r="E51" s="14">
        <f t="shared" si="0"/>
        <v>10056.454261191122</v>
      </c>
      <c r="F51" s="14">
        <f t="shared" si="1"/>
        <v>10056.5</v>
      </c>
      <c r="G51" s="14">
        <f t="shared" si="5"/>
        <v>-0.12616249999700813</v>
      </c>
      <c r="K51" s="14">
        <f>+G51</f>
        <v>-0.12616249999700813</v>
      </c>
      <c r="N51" s="19"/>
      <c r="O51" s="14">
        <f t="shared" ca="1" si="4"/>
        <v>-0.13232647343760051</v>
      </c>
      <c r="Q51" s="17">
        <f t="shared" si="2"/>
        <v>40291.934200000003</v>
      </c>
    </row>
    <row r="52" spans="1:17" s="14" customFormat="1" ht="12.75" customHeight="1" x14ac:dyDescent="0.2">
      <c r="A52" s="43" t="s">
        <v>50</v>
      </c>
      <c r="B52" s="44" t="s">
        <v>34</v>
      </c>
      <c r="C52" s="43">
        <v>55311.806900000003</v>
      </c>
      <c r="D52" s="43">
        <v>2.9999999999999997E-4</v>
      </c>
      <c r="E52" s="14">
        <f t="shared" si="0"/>
        <v>10056.951918283741</v>
      </c>
      <c r="F52" s="14">
        <f t="shared" si="1"/>
        <v>10057</v>
      </c>
      <c r="G52" s="14">
        <f t="shared" si="5"/>
        <v>-0.13262499999837019</v>
      </c>
      <c r="J52" s="14">
        <f>+G52</f>
        <v>-0.13262499999837019</v>
      </c>
      <c r="N52" s="19"/>
      <c r="O52" s="14">
        <f t="shared" ca="1" si="4"/>
        <v>-0.13234319185566057</v>
      </c>
      <c r="Q52" s="17">
        <f t="shared" si="2"/>
        <v>40293.306900000003</v>
      </c>
    </row>
    <row r="53" spans="1:17" s="14" customFormat="1" ht="12.75" customHeight="1" x14ac:dyDescent="0.2">
      <c r="A53" s="43" t="s">
        <v>55</v>
      </c>
      <c r="B53" s="44" t="s">
        <v>34</v>
      </c>
      <c r="C53" s="43">
        <v>55722.796399999999</v>
      </c>
      <c r="D53" s="43">
        <v>2.0000000000000001E-4</v>
      </c>
      <c r="E53" s="14">
        <f t="shared" si="0"/>
        <v>10205.951582935295</v>
      </c>
      <c r="F53" s="14">
        <f t="shared" si="1"/>
        <v>10206</v>
      </c>
      <c r="G53" s="14">
        <f t="shared" si="5"/>
        <v>-0.13355000000592554</v>
      </c>
      <c r="K53" s="14">
        <f>+G53</f>
        <v>-0.13355000000592554</v>
      </c>
      <c r="N53" s="19"/>
      <c r="O53" s="14">
        <f t="shared" ca="1" si="4"/>
        <v>-0.13732528043757014</v>
      </c>
      <c r="Q53" s="17">
        <f t="shared" si="2"/>
        <v>40704.296399999999</v>
      </c>
    </row>
    <row r="54" spans="1:17" s="14" customFormat="1" ht="12.75" customHeight="1" x14ac:dyDescent="0.2">
      <c r="A54" s="45" t="s">
        <v>57</v>
      </c>
      <c r="B54" s="23" t="s">
        <v>34</v>
      </c>
      <c r="C54" s="22">
        <v>56045.515919999998</v>
      </c>
      <c r="D54" s="22">
        <v>1E-4</v>
      </c>
      <c r="E54" s="14">
        <f t="shared" si="0"/>
        <v>10322.949949697731</v>
      </c>
      <c r="F54" s="14">
        <f t="shared" si="1"/>
        <v>10323</v>
      </c>
      <c r="G54" s="14">
        <f t="shared" si="5"/>
        <v>-0.13805500000307802</v>
      </c>
      <c r="K54" s="14">
        <f>+G54</f>
        <v>-0.13805500000307802</v>
      </c>
      <c r="N54" s="19"/>
      <c r="O54" s="14">
        <f t="shared" ca="1" si="4"/>
        <v>-0.1412373902636333</v>
      </c>
      <c r="Q54" s="17">
        <f t="shared" si="2"/>
        <v>41027.015919999998</v>
      </c>
    </row>
    <row r="55" spans="1:17" x14ac:dyDescent="0.2">
      <c r="B55" s="11"/>
      <c r="C55" s="13"/>
      <c r="D55" s="13"/>
    </row>
    <row r="56" spans="1:17" x14ac:dyDescent="0.2">
      <c r="B56" s="11"/>
      <c r="C56" s="13"/>
      <c r="D56" s="13"/>
    </row>
    <row r="57" spans="1:17" x14ac:dyDescent="0.2">
      <c r="B57" s="11"/>
      <c r="C57" s="13"/>
      <c r="D57" s="13"/>
    </row>
    <row r="58" spans="1:17" x14ac:dyDescent="0.2">
      <c r="B58" s="11"/>
      <c r="C58" s="13"/>
      <c r="D58" s="13"/>
    </row>
    <row r="59" spans="1:17" x14ac:dyDescent="0.2">
      <c r="B59" s="11"/>
      <c r="C59" s="13"/>
      <c r="D59" s="13"/>
    </row>
    <row r="60" spans="1:17" x14ac:dyDescent="0.2">
      <c r="B60" s="11"/>
      <c r="C60" s="13"/>
      <c r="D60" s="13"/>
    </row>
    <row r="61" spans="1:17" x14ac:dyDescent="0.2">
      <c r="C61" s="13"/>
      <c r="D61" s="13"/>
    </row>
    <row r="62" spans="1:17" x14ac:dyDescent="0.2">
      <c r="C62" s="13"/>
      <c r="D62" s="13"/>
    </row>
    <row r="63" spans="1:17" x14ac:dyDescent="0.2">
      <c r="C63" s="13"/>
      <c r="D63" s="13"/>
    </row>
    <row r="64" spans="1:17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workbookViewId="0">
      <selection activeCell="A23" sqref="A23:D42"/>
    </sheetView>
  </sheetViews>
  <sheetFormatPr defaultRowHeight="12.75" x14ac:dyDescent="0.2"/>
  <cols>
    <col min="1" max="1" width="19.7109375" style="13" customWidth="1"/>
    <col min="2" max="2" width="4.42578125" style="10" customWidth="1"/>
    <col min="3" max="3" width="12.7109375" style="1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8" t="s">
        <v>60</v>
      </c>
      <c r="I1" s="49" t="s">
        <v>61</v>
      </c>
      <c r="J1" s="50" t="s">
        <v>62</v>
      </c>
    </row>
    <row r="2" spans="1:16" x14ac:dyDescent="0.2">
      <c r="I2" s="51" t="s">
        <v>63</v>
      </c>
      <c r="J2" s="52" t="s">
        <v>64</v>
      </c>
    </row>
    <row r="3" spans="1:16" x14ac:dyDescent="0.2">
      <c r="A3" s="53" t="s">
        <v>65</v>
      </c>
      <c r="I3" s="51" t="s">
        <v>66</v>
      </c>
      <c r="J3" s="52" t="s">
        <v>67</v>
      </c>
    </row>
    <row r="4" spans="1:16" x14ac:dyDescent="0.2">
      <c r="I4" s="51" t="s">
        <v>68</v>
      </c>
      <c r="J4" s="52" t="s">
        <v>67</v>
      </c>
    </row>
    <row r="5" spans="1:16" ht="13.5" thickBot="1" x14ac:dyDescent="0.25">
      <c r="I5" s="54" t="s">
        <v>69</v>
      </c>
      <c r="J5" s="55" t="s">
        <v>70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BBS 88 </v>
      </c>
      <c r="B11" s="11" t="str">
        <f t="shared" ref="B11:B42" si="1">IF(H11=INT(H11),"I","II")</f>
        <v>I</v>
      </c>
      <c r="C11" s="13">
        <f t="shared" ref="C11:C42" si="2">1*G11</f>
        <v>47326.546999999999</v>
      </c>
      <c r="D11" s="10" t="str">
        <f t="shared" ref="D11:D42" si="3">VLOOKUP(F11,I$1:J$5,2,FALSE)</f>
        <v>vis</v>
      </c>
      <c r="E11" s="56">
        <f>VLOOKUP(C11,Active!C$21:E$973,3,FALSE)</f>
        <v>7161.9849002564952</v>
      </c>
      <c r="F11" s="11" t="s">
        <v>69</v>
      </c>
      <c r="G11" s="10" t="str">
        <f t="shared" ref="G11:G42" si="4">MID(I11,3,LEN(I11)-3)</f>
        <v>47326.547</v>
      </c>
      <c r="H11" s="13">
        <f t="shared" ref="H11:H42" si="5">1*K11</f>
        <v>7162</v>
      </c>
      <c r="I11" s="57" t="s">
        <v>124</v>
      </c>
      <c r="J11" s="58" t="s">
        <v>125</v>
      </c>
      <c r="K11" s="57">
        <v>7162</v>
      </c>
      <c r="L11" s="57" t="s">
        <v>126</v>
      </c>
      <c r="M11" s="58" t="s">
        <v>115</v>
      </c>
      <c r="N11" s="58"/>
      <c r="O11" s="59" t="s">
        <v>127</v>
      </c>
      <c r="P11" s="59" t="s">
        <v>128</v>
      </c>
    </row>
    <row r="12" spans="1:16" ht="12.75" customHeight="1" thickBot="1" x14ac:dyDescent="0.25">
      <c r="A12" s="13" t="str">
        <f t="shared" si="0"/>
        <v> BBS 91 </v>
      </c>
      <c r="B12" s="11" t="str">
        <f t="shared" si="1"/>
        <v>I</v>
      </c>
      <c r="C12" s="13">
        <f t="shared" si="2"/>
        <v>47624.464999999997</v>
      </c>
      <c r="D12" s="10" t="str">
        <f t="shared" si="3"/>
        <v>vis</v>
      </c>
      <c r="E12" s="56">
        <f>VLOOKUP(C12,Active!C$21:E$973,3,FALSE)</f>
        <v>7269.9917522409414</v>
      </c>
      <c r="F12" s="11" t="s">
        <v>69</v>
      </c>
      <c r="G12" s="10" t="str">
        <f t="shared" si="4"/>
        <v>47624.465</v>
      </c>
      <c r="H12" s="13">
        <f t="shared" si="5"/>
        <v>7270</v>
      </c>
      <c r="I12" s="57" t="s">
        <v>134</v>
      </c>
      <c r="J12" s="58" t="s">
        <v>135</v>
      </c>
      <c r="K12" s="57">
        <v>7270</v>
      </c>
      <c r="L12" s="57" t="s">
        <v>136</v>
      </c>
      <c r="M12" s="58" t="s">
        <v>115</v>
      </c>
      <c r="N12" s="58"/>
      <c r="O12" s="59" t="s">
        <v>127</v>
      </c>
      <c r="P12" s="59" t="s">
        <v>137</v>
      </c>
    </row>
    <row r="13" spans="1:16" ht="12.75" customHeight="1" thickBot="1" x14ac:dyDescent="0.25">
      <c r="A13" s="13" t="str">
        <f t="shared" si="0"/>
        <v> BBS 115 </v>
      </c>
      <c r="B13" s="11" t="str">
        <f t="shared" si="1"/>
        <v>I</v>
      </c>
      <c r="C13" s="13">
        <f t="shared" si="2"/>
        <v>50672.357000000004</v>
      </c>
      <c r="D13" s="10" t="str">
        <f t="shared" si="3"/>
        <v>vis</v>
      </c>
      <c r="E13" s="56">
        <f>VLOOKUP(C13,Active!C$21:E$973,3,FALSE)</f>
        <v>8374.9710422085882</v>
      </c>
      <c r="F13" s="11" t="s">
        <v>69</v>
      </c>
      <c r="G13" s="10" t="str">
        <f t="shared" si="4"/>
        <v>50672.357</v>
      </c>
      <c r="H13" s="13">
        <f t="shared" si="5"/>
        <v>8375</v>
      </c>
      <c r="I13" s="57" t="s">
        <v>138</v>
      </c>
      <c r="J13" s="58" t="s">
        <v>139</v>
      </c>
      <c r="K13" s="57">
        <v>8375</v>
      </c>
      <c r="L13" s="57" t="s">
        <v>140</v>
      </c>
      <c r="M13" s="58" t="s">
        <v>141</v>
      </c>
      <c r="N13" s="58" t="s">
        <v>142</v>
      </c>
      <c r="O13" s="59" t="s">
        <v>143</v>
      </c>
      <c r="P13" s="59" t="s">
        <v>144</v>
      </c>
    </row>
    <row r="14" spans="1:16" ht="12.75" customHeight="1" thickBot="1" x14ac:dyDescent="0.25">
      <c r="A14" s="13" t="str">
        <f t="shared" si="0"/>
        <v>IBVS 5027 </v>
      </c>
      <c r="B14" s="11" t="str">
        <f t="shared" si="1"/>
        <v>I</v>
      </c>
      <c r="C14" s="13">
        <f t="shared" si="2"/>
        <v>51306.705999999998</v>
      </c>
      <c r="D14" s="10" t="str">
        <f t="shared" si="3"/>
        <v>vis</v>
      </c>
      <c r="E14" s="56">
        <f>VLOOKUP(C14,Active!C$21:E$973,3,FALSE)</f>
        <v>8604.9472052785641</v>
      </c>
      <c r="F14" s="11" t="s">
        <v>69</v>
      </c>
      <c r="G14" s="10" t="str">
        <f t="shared" si="4"/>
        <v>51306.706</v>
      </c>
      <c r="H14" s="13">
        <f t="shared" si="5"/>
        <v>8605</v>
      </c>
      <c r="I14" s="57" t="s">
        <v>145</v>
      </c>
      <c r="J14" s="58" t="s">
        <v>146</v>
      </c>
      <c r="K14" s="57">
        <v>8605</v>
      </c>
      <c r="L14" s="57" t="s">
        <v>147</v>
      </c>
      <c r="M14" s="58" t="s">
        <v>141</v>
      </c>
      <c r="N14" s="58" t="s">
        <v>142</v>
      </c>
      <c r="O14" s="59" t="s">
        <v>143</v>
      </c>
      <c r="P14" s="60" t="s">
        <v>148</v>
      </c>
    </row>
    <row r="15" spans="1:16" ht="12.75" customHeight="1" thickBot="1" x14ac:dyDescent="0.25">
      <c r="A15" s="13" t="str">
        <f t="shared" si="0"/>
        <v>IBVS 5027 </v>
      </c>
      <c r="B15" s="11" t="str">
        <f t="shared" si="1"/>
        <v>II</v>
      </c>
      <c r="C15" s="13">
        <f t="shared" si="2"/>
        <v>51310.8874</v>
      </c>
      <c r="D15" s="10" t="str">
        <f t="shared" si="3"/>
        <v>vis</v>
      </c>
      <c r="E15" s="56">
        <f>VLOOKUP(C15,Active!C$21:E$973,3,FALSE)</f>
        <v>8606.4631252662384</v>
      </c>
      <c r="F15" s="11" t="s">
        <v>69</v>
      </c>
      <c r="G15" s="10" t="str">
        <f t="shared" si="4"/>
        <v>51310.8874</v>
      </c>
      <c r="H15" s="13">
        <f t="shared" si="5"/>
        <v>8606.5</v>
      </c>
      <c r="I15" s="57" t="s">
        <v>149</v>
      </c>
      <c r="J15" s="58" t="s">
        <v>150</v>
      </c>
      <c r="K15" s="57">
        <v>8606.5</v>
      </c>
      <c r="L15" s="57" t="s">
        <v>151</v>
      </c>
      <c r="M15" s="58" t="s">
        <v>141</v>
      </c>
      <c r="N15" s="58" t="s">
        <v>142</v>
      </c>
      <c r="O15" s="59" t="s">
        <v>143</v>
      </c>
      <c r="P15" s="60" t="s">
        <v>148</v>
      </c>
    </row>
    <row r="16" spans="1:16" ht="12.75" customHeight="1" thickBot="1" x14ac:dyDescent="0.25">
      <c r="A16" s="13" t="str">
        <f t="shared" si="0"/>
        <v> BBS 130 </v>
      </c>
      <c r="B16" s="11" t="str">
        <f t="shared" si="1"/>
        <v>I</v>
      </c>
      <c r="C16" s="13">
        <f t="shared" si="2"/>
        <v>52840.394</v>
      </c>
      <c r="D16" s="10" t="str">
        <f t="shared" si="3"/>
        <v>vis</v>
      </c>
      <c r="E16" s="56">
        <f>VLOOKUP(C16,Active!C$21:E$973,3,FALSE)</f>
        <v>9160.9687038329412</v>
      </c>
      <c r="F16" s="11" t="s">
        <v>69</v>
      </c>
      <c r="G16" s="10" t="str">
        <f t="shared" si="4"/>
        <v>52840.394</v>
      </c>
      <c r="H16" s="13">
        <f t="shared" si="5"/>
        <v>9161</v>
      </c>
      <c r="I16" s="57" t="s">
        <v>160</v>
      </c>
      <c r="J16" s="58" t="s">
        <v>161</v>
      </c>
      <c r="K16" s="57">
        <v>9161</v>
      </c>
      <c r="L16" s="57" t="s">
        <v>162</v>
      </c>
      <c r="M16" s="58" t="s">
        <v>115</v>
      </c>
      <c r="N16" s="58"/>
      <c r="O16" s="59" t="s">
        <v>127</v>
      </c>
      <c r="P16" s="59" t="s">
        <v>163</v>
      </c>
    </row>
    <row r="17" spans="1:16" ht="12.75" customHeight="1" thickBot="1" x14ac:dyDescent="0.25">
      <c r="A17" s="13" t="str">
        <f t="shared" si="0"/>
        <v>OEJV 0003 </v>
      </c>
      <c r="B17" s="11" t="str">
        <f t="shared" si="1"/>
        <v>I</v>
      </c>
      <c r="C17" s="13">
        <f t="shared" si="2"/>
        <v>53557.523000000001</v>
      </c>
      <c r="D17" s="10" t="str">
        <f t="shared" si="3"/>
        <v>vis</v>
      </c>
      <c r="E17" s="56">
        <f>VLOOKUP(C17,Active!C$21:E$973,3,FALSE)</f>
        <v>9420.955833703425</v>
      </c>
      <c r="F17" s="11" t="s">
        <v>69</v>
      </c>
      <c r="G17" s="10" t="str">
        <f t="shared" si="4"/>
        <v>53557.523</v>
      </c>
      <c r="H17" s="13">
        <f t="shared" si="5"/>
        <v>9421</v>
      </c>
      <c r="I17" s="57" t="s">
        <v>164</v>
      </c>
      <c r="J17" s="58" t="s">
        <v>165</v>
      </c>
      <c r="K17" s="57">
        <v>9421</v>
      </c>
      <c r="L17" s="57" t="s">
        <v>166</v>
      </c>
      <c r="M17" s="58" t="s">
        <v>115</v>
      </c>
      <c r="N17" s="58"/>
      <c r="O17" s="59" t="s">
        <v>127</v>
      </c>
      <c r="P17" s="60" t="s">
        <v>167</v>
      </c>
    </row>
    <row r="18" spans="1:16" ht="12.75" customHeight="1" thickBot="1" x14ac:dyDescent="0.25">
      <c r="A18" s="13" t="str">
        <f t="shared" si="0"/>
        <v>BAVM 201 </v>
      </c>
      <c r="B18" s="11" t="str">
        <f t="shared" si="1"/>
        <v>I</v>
      </c>
      <c r="C18" s="13">
        <f t="shared" si="2"/>
        <v>54597.411399999997</v>
      </c>
      <c r="D18" s="10" t="str">
        <f t="shared" si="3"/>
        <v>vis</v>
      </c>
      <c r="E18" s="56">
        <f>VLOOKUP(C18,Active!C$21:E$973,3,FALSE)</f>
        <v>9797.9557883860653</v>
      </c>
      <c r="F18" s="11" t="s">
        <v>69</v>
      </c>
      <c r="G18" s="10" t="str">
        <f t="shared" si="4"/>
        <v>54597.4114</v>
      </c>
      <c r="H18" s="13">
        <f t="shared" si="5"/>
        <v>9798</v>
      </c>
      <c r="I18" s="57" t="s">
        <v>168</v>
      </c>
      <c r="J18" s="58" t="s">
        <v>169</v>
      </c>
      <c r="K18" s="57">
        <v>9798</v>
      </c>
      <c r="L18" s="57" t="s">
        <v>170</v>
      </c>
      <c r="M18" s="58" t="s">
        <v>171</v>
      </c>
      <c r="N18" s="58" t="s">
        <v>172</v>
      </c>
      <c r="O18" s="59" t="s">
        <v>173</v>
      </c>
      <c r="P18" s="60" t="s">
        <v>174</v>
      </c>
    </row>
    <row r="19" spans="1:16" ht="12.75" customHeight="1" thickBot="1" x14ac:dyDescent="0.25">
      <c r="A19" s="13" t="str">
        <f t="shared" si="0"/>
        <v>OEJV 0137 </v>
      </c>
      <c r="B19" s="11" t="str">
        <f t="shared" si="1"/>
        <v>II</v>
      </c>
      <c r="C19" s="13">
        <f t="shared" si="2"/>
        <v>55310.434200000003</v>
      </c>
      <c r="D19" s="10" t="str">
        <f t="shared" si="3"/>
        <v>vis</v>
      </c>
      <c r="E19" s="56">
        <f>VLOOKUP(C19,Active!C$21:E$973,3,FALSE)</f>
        <v>10056.454261191122</v>
      </c>
      <c r="F19" s="11" t="s">
        <v>69</v>
      </c>
      <c r="G19" s="10" t="str">
        <f t="shared" si="4"/>
        <v>55310.4342</v>
      </c>
      <c r="H19" s="13">
        <f t="shared" si="5"/>
        <v>10056.5</v>
      </c>
      <c r="I19" s="57" t="s">
        <v>175</v>
      </c>
      <c r="J19" s="58" t="s">
        <v>176</v>
      </c>
      <c r="K19" s="57" t="s">
        <v>177</v>
      </c>
      <c r="L19" s="57" t="s">
        <v>178</v>
      </c>
      <c r="M19" s="58" t="s">
        <v>171</v>
      </c>
      <c r="N19" s="58" t="s">
        <v>61</v>
      </c>
      <c r="O19" s="59" t="s">
        <v>179</v>
      </c>
      <c r="P19" s="60" t="s">
        <v>180</v>
      </c>
    </row>
    <row r="20" spans="1:16" ht="12.75" customHeight="1" thickBot="1" x14ac:dyDescent="0.25">
      <c r="A20" s="13" t="str">
        <f t="shared" si="0"/>
        <v>IBVS 5945 </v>
      </c>
      <c r="B20" s="11" t="str">
        <f t="shared" si="1"/>
        <v>I</v>
      </c>
      <c r="C20" s="13">
        <f t="shared" si="2"/>
        <v>55311.806900000003</v>
      </c>
      <c r="D20" s="10" t="str">
        <f t="shared" si="3"/>
        <v>vis</v>
      </c>
      <c r="E20" s="56">
        <f>VLOOKUP(C20,Active!C$21:E$973,3,FALSE)</f>
        <v>10056.951918283741</v>
      </c>
      <c r="F20" s="11" t="s">
        <v>69</v>
      </c>
      <c r="G20" s="10" t="str">
        <f t="shared" si="4"/>
        <v>55311.8069</v>
      </c>
      <c r="H20" s="13">
        <f t="shared" si="5"/>
        <v>10057</v>
      </c>
      <c r="I20" s="57" t="s">
        <v>181</v>
      </c>
      <c r="J20" s="58" t="s">
        <v>182</v>
      </c>
      <c r="K20" s="57" t="s">
        <v>183</v>
      </c>
      <c r="L20" s="57" t="s">
        <v>184</v>
      </c>
      <c r="M20" s="58" t="s">
        <v>171</v>
      </c>
      <c r="N20" s="58" t="s">
        <v>69</v>
      </c>
      <c r="O20" s="59" t="s">
        <v>143</v>
      </c>
      <c r="P20" s="60" t="s">
        <v>185</v>
      </c>
    </row>
    <row r="21" spans="1:16" ht="12.75" customHeight="1" thickBot="1" x14ac:dyDescent="0.25">
      <c r="A21" s="13" t="str">
        <f t="shared" si="0"/>
        <v>IBVS 5992 </v>
      </c>
      <c r="B21" s="11" t="str">
        <f t="shared" si="1"/>
        <v>I</v>
      </c>
      <c r="C21" s="13">
        <f t="shared" si="2"/>
        <v>55722.796399999999</v>
      </c>
      <c r="D21" s="10" t="str">
        <f t="shared" si="3"/>
        <v>vis</v>
      </c>
      <c r="E21" s="56">
        <f>VLOOKUP(C21,Active!C$21:E$973,3,FALSE)</f>
        <v>10205.951582935295</v>
      </c>
      <c r="F21" s="11" t="s">
        <v>69</v>
      </c>
      <c r="G21" s="10" t="str">
        <f t="shared" si="4"/>
        <v>55722.7964</v>
      </c>
      <c r="H21" s="13">
        <f t="shared" si="5"/>
        <v>10206</v>
      </c>
      <c r="I21" s="57" t="s">
        <v>186</v>
      </c>
      <c r="J21" s="58" t="s">
        <v>187</v>
      </c>
      <c r="K21" s="57" t="s">
        <v>188</v>
      </c>
      <c r="L21" s="57" t="s">
        <v>189</v>
      </c>
      <c r="M21" s="58" t="s">
        <v>171</v>
      </c>
      <c r="N21" s="58" t="s">
        <v>69</v>
      </c>
      <c r="O21" s="59" t="s">
        <v>143</v>
      </c>
      <c r="P21" s="60" t="s">
        <v>190</v>
      </c>
    </row>
    <row r="22" spans="1:16" ht="12.75" customHeight="1" thickBot="1" x14ac:dyDescent="0.25">
      <c r="A22" s="13" t="str">
        <f t="shared" si="0"/>
        <v>OEJV 0160 </v>
      </c>
      <c r="B22" s="11" t="str">
        <f t="shared" si="1"/>
        <v>I</v>
      </c>
      <c r="C22" s="13">
        <f t="shared" si="2"/>
        <v>56045.515919999998</v>
      </c>
      <c r="D22" s="10" t="str">
        <f t="shared" si="3"/>
        <v>vis</v>
      </c>
      <c r="E22" s="56">
        <f>VLOOKUP(C22,Active!C$21:E$973,3,FALSE)</f>
        <v>10322.949949697731</v>
      </c>
      <c r="F22" s="11" t="s">
        <v>69</v>
      </c>
      <c r="G22" s="10" t="str">
        <f t="shared" si="4"/>
        <v>56045.51592</v>
      </c>
      <c r="H22" s="13">
        <f t="shared" si="5"/>
        <v>10323</v>
      </c>
      <c r="I22" s="57" t="s">
        <v>191</v>
      </c>
      <c r="J22" s="58" t="s">
        <v>192</v>
      </c>
      <c r="K22" s="57" t="s">
        <v>193</v>
      </c>
      <c r="L22" s="57" t="s">
        <v>194</v>
      </c>
      <c r="M22" s="58" t="s">
        <v>171</v>
      </c>
      <c r="N22" s="58" t="s">
        <v>61</v>
      </c>
      <c r="O22" s="59" t="s">
        <v>179</v>
      </c>
      <c r="P22" s="60" t="s">
        <v>195</v>
      </c>
    </row>
    <row r="23" spans="1:16" ht="12.75" customHeight="1" thickBot="1" x14ac:dyDescent="0.25">
      <c r="A23" s="13" t="str">
        <f t="shared" si="0"/>
        <v> VSS 4.335 </v>
      </c>
      <c r="B23" s="11" t="str">
        <f t="shared" si="1"/>
        <v>I</v>
      </c>
      <c r="C23" s="13">
        <f t="shared" si="2"/>
        <v>27571.51</v>
      </c>
      <c r="D23" s="10" t="str">
        <f t="shared" si="3"/>
        <v>vis</v>
      </c>
      <c r="E23" s="56">
        <f>VLOOKUP(C23,Active!C$21:E$973,3,FALSE)</f>
        <v>1.631424868289769E-2</v>
      </c>
      <c r="F23" s="11" t="s">
        <v>69</v>
      </c>
      <c r="G23" s="10" t="str">
        <f t="shared" si="4"/>
        <v>27571.510</v>
      </c>
      <c r="H23" s="13">
        <f t="shared" si="5"/>
        <v>0</v>
      </c>
      <c r="I23" s="57" t="s">
        <v>71</v>
      </c>
      <c r="J23" s="58" t="s">
        <v>72</v>
      </c>
      <c r="K23" s="57">
        <v>0</v>
      </c>
      <c r="L23" s="57" t="s">
        <v>73</v>
      </c>
      <c r="M23" s="58" t="s">
        <v>74</v>
      </c>
      <c r="N23" s="58"/>
      <c r="O23" s="59" t="s">
        <v>75</v>
      </c>
      <c r="P23" s="59" t="s">
        <v>76</v>
      </c>
    </row>
    <row r="24" spans="1:16" ht="12.75" customHeight="1" thickBot="1" x14ac:dyDescent="0.25">
      <c r="A24" s="13" t="str">
        <f t="shared" si="0"/>
        <v> VSS 4.335 </v>
      </c>
      <c r="B24" s="11" t="str">
        <f t="shared" si="1"/>
        <v>I</v>
      </c>
      <c r="C24" s="13">
        <f t="shared" si="2"/>
        <v>28302.424999999999</v>
      </c>
      <c r="D24" s="10" t="str">
        <f t="shared" si="3"/>
        <v>vis</v>
      </c>
      <c r="E24" s="56">
        <f>VLOOKUP(C24,Active!C$21:E$973,3,FALSE)</f>
        <v>265.00140483808076</v>
      </c>
      <c r="F24" s="11" t="s">
        <v>69</v>
      </c>
      <c r="G24" s="10" t="str">
        <f t="shared" si="4"/>
        <v>28302.425</v>
      </c>
      <c r="H24" s="13">
        <f t="shared" si="5"/>
        <v>265</v>
      </c>
      <c r="I24" s="57" t="s">
        <v>77</v>
      </c>
      <c r="J24" s="58" t="s">
        <v>78</v>
      </c>
      <c r="K24" s="57">
        <v>265</v>
      </c>
      <c r="L24" s="57" t="s">
        <v>79</v>
      </c>
      <c r="M24" s="58" t="s">
        <v>74</v>
      </c>
      <c r="N24" s="58"/>
      <c r="O24" s="59" t="s">
        <v>75</v>
      </c>
      <c r="P24" s="59" t="s">
        <v>76</v>
      </c>
    </row>
    <row r="25" spans="1:16" ht="12.75" customHeight="1" thickBot="1" x14ac:dyDescent="0.25">
      <c r="A25" s="13" t="str">
        <f t="shared" si="0"/>
        <v> VSS 4.335 </v>
      </c>
      <c r="B25" s="11" t="str">
        <f t="shared" si="1"/>
        <v>I</v>
      </c>
      <c r="C25" s="13">
        <f t="shared" si="2"/>
        <v>28630.578000000001</v>
      </c>
      <c r="D25" s="10" t="str">
        <f t="shared" si="3"/>
        <v>vis</v>
      </c>
      <c r="E25" s="56">
        <f>VLOOKUP(C25,Active!C$21:E$973,3,FALSE)</f>
        <v>383.9696192435631</v>
      </c>
      <c r="F25" s="11" t="s">
        <v>69</v>
      </c>
      <c r="G25" s="10" t="str">
        <f t="shared" si="4"/>
        <v>28630.578</v>
      </c>
      <c r="H25" s="13">
        <f t="shared" si="5"/>
        <v>384</v>
      </c>
      <c r="I25" s="57" t="s">
        <v>80</v>
      </c>
      <c r="J25" s="58" t="s">
        <v>81</v>
      </c>
      <c r="K25" s="57">
        <v>384</v>
      </c>
      <c r="L25" s="57" t="s">
        <v>82</v>
      </c>
      <c r="M25" s="58" t="s">
        <v>74</v>
      </c>
      <c r="N25" s="58"/>
      <c r="O25" s="59" t="s">
        <v>75</v>
      </c>
      <c r="P25" s="59" t="s">
        <v>76</v>
      </c>
    </row>
    <row r="26" spans="1:16" ht="12.75" customHeight="1" thickBot="1" x14ac:dyDescent="0.25">
      <c r="A26" s="13" t="str">
        <f t="shared" si="0"/>
        <v> VSS 4.335 </v>
      </c>
      <c r="B26" s="11" t="str">
        <f t="shared" si="1"/>
        <v>I</v>
      </c>
      <c r="C26" s="13">
        <f t="shared" si="2"/>
        <v>30412.594000000001</v>
      </c>
      <c r="D26" s="10" t="str">
        <f t="shared" si="3"/>
        <v>vis</v>
      </c>
      <c r="E26" s="56">
        <f>VLOOKUP(C26,Active!C$21:E$973,3,FALSE)</f>
        <v>1030.0196677331353</v>
      </c>
      <c r="F26" s="11" t="s">
        <v>69</v>
      </c>
      <c r="G26" s="10" t="str">
        <f t="shared" si="4"/>
        <v>30412.594</v>
      </c>
      <c r="H26" s="13">
        <f t="shared" si="5"/>
        <v>1030</v>
      </c>
      <c r="I26" s="57" t="s">
        <v>83</v>
      </c>
      <c r="J26" s="58" t="s">
        <v>84</v>
      </c>
      <c r="K26" s="57">
        <v>1030</v>
      </c>
      <c r="L26" s="57" t="s">
        <v>85</v>
      </c>
      <c r="M26" s="58" t="s">
        <v>74</v>
      </c>
      <c r="N26" s="58"/>
      <c r="O26" s="59" t="s">
        <v>75</v>
      </c>
      <c r="P26" s="59" t="s">
        <v>76</v>
      </c>
    </row>
    <row r="27" spans="1:16" ht="12.75" customHeight="1" thickBot="1" x14ac:dyDescent="0.25">
      <c r="A27" s="13" t="str">
        <f t="shared" si="0"/>
        <v> VSS 4.335 </v>
      </c>
      <c r="B27" s="11" t="str">
        <f t="shared" si="1"/>
        <v>I</v>
      </c>
      <c r="C27" s="13">
        <f t="shared" si="2"/>
        <v>30787.628000000001</v>
      </c>
      <c r="D27" s="10" t="str">
        <f t="shared" si="3"/>
        <v>vis</v>
      </c>
      <c r="E27" s="56">
        <f>VLOOKUP(C27,Active!C$21:E$973,3,FALSE)</f>
        <v>1165.9840664171193</v>
      </c>
      <c r="F27" s="11" t="s">
        <v>69</v>
      </c>
      <c r="G27" s="10" t="str">
        <f t="shared" si="4"/>
        <v>30787.628</v>
      </c>
      <c r="H27" s="13">
        <f t="shared" si="5"/>
        <v>1166</v>
      </c>
      <c r="I27" s="57" t="s">
        <v>86</v>
      </c>
      <c r="J27" s="58" t="s">
        <v>87</v>
      </c>
      <c r="K27" s="57">
        <v>1166</v>
      </c>
      <c r="L27" s="57" t="s">
        <v>88</v>
      </c>
      <c r="M27" s="58" t="s">
        <v>74</v>
      </c>
      <c r="N27" s="58"/>
      <c r="O27" s="59" t="s">
        <v>75</v>
      </c>
      <c r="P27" s="59" t="s">
        <v>76</v>
      </c>
    </row>
    <row r="28" spans="1:16" ht="12.75" customHeight="1" thickBot="1" x14ac:dyDescent="0.25">
      <c r="A28" s="13" t="str">
        <f t="shared" si="0"/>
        <v> VSS 4.335 </v>
      </c>
      <c r="B28" s="11" t="str">
        <f t="shared" si="1"/>
        <v>I</v>
      </c>
      <c r="C28" s="13">
        <f t="shared" si="2"/>
        <v>30798.62</v>
      </c>
      <c r="D28" s="10" t="str">
        <f t="shared" si="3"/>
        <v>vis</v>
      </c>
      <c r="E28" s="56">
        <f>VLOOKUP(C28,Active!C$21:E$973,3,FALSE)</f>
        <v>1169.9690935622157</v>
      </c>
      <c r="F28" s="11" t="s">
        <v>69</v>
      </c>
      <c r="G28" s="10" t="str">
        <f t="shared" si="4"/>
        <v>30798.620</v>
      </c>
      <c r="H28" s="13">
        <f t="shared" si="5"/>
        <v>1170</v>
      </c>
      <c r="I28" s="57" t="s">
        <v>89</v>
      </c>
      <c r="J28" s="58" t="s">
        <v>90</v>
      </c>
      <c r="K28" s="57">
        <v>1170</v>
      </c>
      <c r="L28" s="57" t="s">
        <v>91</v>
      </c>
      <c r="M28" s="58" t="s">
        <v>74</v>
      </c>
      <c r="N28" s="58"/>
      <c r="O28" s="59" t="s">
        <v>75</v>
      </c>
      <c r="P28" s="59" t="s">
        <v>76</v>
      </c>
    </row>
    <row r="29" spans="1:16" ht="12.75" customHeight="1" thickBot="1" x14ac:dyDescent="0.25">
      <c r="A29" s="13" t="str">
        <f t="shared" si="0"/>
        <v> VSS 4.335 </v>
      </c>
      <c r="B29" s="11" t="str">
        <f t="shared" si="1"/>
        <v>I</v>
      </c>
      <c r="C29" s="13">
        <f t="shared" si="2"/>
        <v>31223.413</v>
      </c>
      <c r="D29" s="10" t="str">
        <f t="shared" si="3"/>
        <v>vis</v>
      </c>
      <c r="E29" s="56">
        <f>VLOOKUP(C29,Active!C$21:E$973,3,FALSE)</f>
        <v>1323.9730633627291</v>
      </c>
      <c r="F29" s="11" t="s">
        <v>69</v>
      </c>
      <c r="G29" s="10" t="str">
        <f t="shared" si="4"/>
        <v>31223.413</v>
      </c>
      <c r="H29" s="13">
        <f t="shared" si="5"/>
        <v>1324</v>
      </c>
      <c r="I29" s="57" t="s">
        <v>92</v>
      </c>
      <c r="J29" s="58" t="s">
        <v>93</v>
      </c>
      <c r="K29" s="57">
        <v>1324</v>
      </c>
      <c r="L29" s="57" t="s">
        <v>94</v>
      </c>
      <c r="M29" s="58" t="s">
        <v>74</v>
      </c>
      <c r="N29" s="58"/>
      <c r="O29" s="59" t="s">
        <v>75</v>
      </c>
      <c r="P29" s="59" t="s">
        <v>76</v>
      </c>
    </row>
    <row r="30" spans="1:16" ht="12.75" customHeight="1" thickBot="1" x14ac:dyDescent="0.25">
      <c r="A30" s="13" t="str">
        <f t="shared" si="0"/>
        <v> VSS 4.335 </v>
      </c>
      <c r="B30" s="11" t="str">
        <f t="shared" si="1"/>
        <v>I</v>
      </c>
      <c r="C30" s="13">
        <f t="shared" si="2"/>
        <v>31314.401000000002</v>
      </c>
      <c r="D30" s="10" t="str">
        <f t="shared" si="3"/>
        <v>vis</v>
      </c>
      <c r="E30" s="56">
        <f>VLOOKUP(C30,Active!C$21:E$973,3,FALSE)</f>
        <v>1356.9597491231095</v>
      </c>
      <c r="F30" s="11" t="s">
        <v>69</v>
      </c>
      <c r="G30" s="10" t="str">
        <f t="shared" si="4"/>
        <v>31314.401</v>
      </c>
      <c r="H30" s="13">
        <f t="shared" si="5"/>
        <v>1357</v>
      </c>
      <c r="I30" s="57" t="s">
        <v>95</v>
      </c>
      <c r="J30" s="58" t="s">
        <v>96</v>
      </c>
      <c r="K30" s="57">
        <v>1357</v>
      </c>
      <c r="L30" s="57" t="s">
        <v>97</v>
      </c>
      <c r="M30" s="58" t="s">
        <v>74</v>
      </c>
      <c r="N30" s="58"/>
      <c r="O30" s="59" t="s">
        <v>75</v>
      </c>
      <c r="P30" s="59" t="s">
        <v>76</v>
      </c>
    </row>
    <row r="31" spans="1:16" ht="12.75" customHeight="1" thickBot="1" x14ac:dyDescent="0.25">
      <c r="A31" s="13" t="str">
        <f t="shared" si="0"/>
        <v> VSS 4.335 </v>
      </c>
      <c r="B31" s="11" t="str">
        <f t="shared" si="1"/>
        <v>I</v>
      </c>
      <c r="C31" s="13">
        <f t="shared" si="2"/>
        <v>31554.575000000001</v>
      </c>
      <c r="D31" s="10" t="str">
        <f t="shared" si="3"/>
        <v>vis</v>
      </c>
      <c r="E31" s="56">
        <f>VLOOKUP(C31,Active!C$21:E$973,3,FALSE)</f>
        <v>1444.0321571968498</v>
      </c>
      <c r="F31" s="11" t="s">
        <v>69</v>
      </c>
      <c r="G31" s="10" t="str">
        <f t="shared" si="4"/>
        <v>31554.575</v>
      </c>
      <c r="H31" s="13">
        <f t="shared" si="5"/>
        <v>1444</v>
      </c>
      <c r="I31" s="57" t="s">
        <v>98</v>
      </c>
      <c r="J31" s="58" t="s">
        <v>99</v>
      </c>
      <c r="K31" s="57">
        <v>1444</v>
      </c>
      <c r="L31" s="57" t="s">
        <v>100</v>
      </c>
      <c r="M31" s="58" t="s">
        <v>74</v>
      </c>
      <c r="N31" s="58"/>
      <c r="O31" s="59" t="s">
        <v>75</v>
      </c>
      <c r="P31" s="59" t="s">
        <v>76</v>
      </c>
    </row>
    <row r="32" spans="1:16" ht="12.75" customHeight="1" thickBot="1" x14ac:dyDescent="0.25">
      <c r="A32" s="13" t="str">
        <f t="shared" si="0"/>
        <v> VSS 4.335 </v>
      </c>
      <c r="B32" s="11" t="str">
        <f t="shared" si="1"/>
        <v>I</v>
      </c>
      <c r="C32" s="13">
        <f t="shared" si="2"/>
        <v>31645.457999999999</v>
      </c>
      <c r="D32" s="10" t="str">
        <f t="shared" si="3"/>
        <v>vis</v>
      </c>
      <c r="E32" s="56">
        <f>VLOOKUP(C32,Active!C$21:E$973,3,FALSE)</f>
        <v>1476.9807763769672</v>
      </c>
      <c r="F32" s="11" t="s">
        <v>69</v>
      </c>
      <c r="G32" s="10" t="str">
        <f t="shared" si="4"/>
        <v>31645.458</v>
      </c>
      <c r="H32" s="13">
        <f t="shared" si="5"/>
        <v>1477</v>
      </c>
      <c r="I32" s="57" t="s">
        <v>101</v>
      </c>
      <c r="J32" s="58" t="s">
        <v>102</v>
      </c>
      <c r="K32" s="57">
        <v>1477</v>
      </c>
      <c r="L32" s="57" t="s">
        <v>103</v>
      </c>
      <c r="M32" s="58" t="s">
        <v>74</v>
      </c>
      <c r="N32" s="58"/>
      <c r="O32" s="59" t="s">
        <v>75</v>
      </c>
      <c r="P32" s="59" t="s">
        <v>76</v>
      </c>
    </row>
    <row r="33" spans="1:16" ht="12.75" customHeight="1" thickBot="1" x14ac:dyDescent="0.25">
      <c r="A33" s="13" t="str">
        <f t="shared" si="0"/>
        <v> VSS 4.335 </v>
      </c>
      <c r="B33" s="11" t="str">
        <f t="shared" si="1"/>
        <v>I</v>
      </c>
      <c r="C33" s="13">
        <f t="shared" si="2"/>
        <v>33002.553999999996</v>
      </c>
      <c r="D33" s="10" t="str">
        <f t="shared" si="3"/>
        <v>vis</v>
      </c>
      <c r="E33" s="56">
        <f>VLOOKUP(C33,Active!C$21:E$973,3,FALSE)</f>
        <v>1968.9808126308524</v>
      </c>
      <c r="F33" s="11" t="s">
        <v>69</v>
      </c>
      <c r="G33" s="10" t="str">
        <f t="shared" si="4"/>
        <v>33002.554</v>
      </c>
      <c r="H33" s="13">
        <f t="shared" si="5"/>
        <v>1969</v>
      </c>
      <c r="I33" s="57" t="s">
        <v>104</v>
      </c>
      <c r="J33" s="58" t="s">
        <v>105</v>
      </c>
      <c r="K33" s="57">
        <v>1969</v>
      </c>
      <c r="L33" s="57" t="s">
        <v>103</v>
      </c>
      <c r="M33" s="58" t="s">
        <v>74</v>
      </c>
      <c r="N33" s="58"/>
      <c r="O33" s="59" t="s">
        <v>75</v>
      </c>
      <c r="P33" s="59" t="s">
        <v>76</v>
      </c>
    </row>
    <row r="34" spans="1:16" ht="12.75" customHeight="1" thickBot="1" x14ac:dyDescent="0.25">
      <c r="A34" s="13" t="str">
        <f t="shared" si="0"/>
        <v> VSS 4.335 </v>
      </c>
      <c r="B34" s="11" t="str">
        <f t="shared" si="1"/>
        <v>I</v>
      </c>
      <c r="C34" s="13">
        <f t="shared" si="2"/>
        <v>33096.464</v>
      </c>
      <c r="D34" s="10" t="str">
        <f t="shared" si="3"/>
        <v>vis</v>
      </c>
      <c r="E34" s="56">
        <f>VLOOKUP(C34,Active!C$21:E$973,3,FALSE)</f>
        <v>2003.0268369390842</v>
      </c>
      <c r="F34" s="11" t="s">
        <v>69</v>
      </c>
      <c r="G34" s="10" t="str">
        <f t="shared" si="4"/>
        <v>33096.464</v>
      </c>
      <c r="H34" s="13">
        <f t="shared" si="5"/>
        <v>2003</v>
      </c>
      <c r="I34" s="57" t="s">
        <v>106</v>
      </c>
      <c r="J34" s="58" t="s">
        <v>107</v>
      </c>
      <c r="K34" s="57">
        <v>2003</v>
      </c>
      <c r="L34" s="57" t="s">
        <v>108</v>
      </c>
      <c r="M34" s="58" t="s">
        <v>74</v>
      </c>
      <c r="N34" s="58"/>
      <c r="O34" s="59" t="s">
        <v>75</v>
      </c>
      <c r="P34" s="59" t="s">
        <v>76</v>
      </c>
    </row>
    <row r="35" spans="1:16" ht="12.75" customHeight="1" thickBot="1" x14ac:dyDescent="0.25">
      <c r="A35" s="13" t="str">
        <f t="shared" si="0"/>
        <v> VSS 4.336 </v>
      </c>
      <c r="B35" s="11" t="str">
        <f t="shared" si="1"/>
        <v>I</v>
      </c>
      <c r="C35" s="13">
        <f t="shared" si="2"/>
        <v>33827.434999999998</v>
      </c>
      <c r="D35" s="10" t="str">
        <f t="shared" si="3"/>
        <v>vis</v>
      </c>
      <c r="E35" s="56">
        <f>VLOOKUP(C35,Active!C$21:E$973,3,FALSE)</f>
        <v>2268.0322297046205</v>
      </c>
      <c r="F35" s="11" t="s">
        <v>69</v>
      </c>
      <c r="G35" s="10" t="str">
        <f t="shared" si="4"/>
        <v>33827.435</v>
      </c>
      <c r="H35" s="13">
        <f t="shared" si="5"/>
        <v>2268</v>
      </c>
      <c r="I35" s="57" t="s">
        <v>109</v>
      </c>
      <c r="J35" s="58" t="s">
        <v>110</v>
      </c>
      <c r="K35" s="57">
        <v>2268</v>
      </c>
      <c r="L35" s="57" t="s">
        <v>100</v>
      </c>
      <c r="M35" s="58" t="s">
        <v>74</v>
      </c>
      <c r="N35" s="58"/>
      <c r="O35" s="59" t="s">
        <v>75</v>
      </c>
      <c r="P35" s="59" t="s">
        <v>111</v>
      </c>
    </row>
    <row r="36" spans="1:16" ht="12.75" customHeight="1" thickBot="1" x14ac:dyDescent="0.25">
      <c r="A36" s="13" t="str">
        <f t="shared" si="0"/>
        <v> VSS 4.336 </v>
      </c>
      <c r="B36" s="11" t="str">
        <f t="shared" si="1"/>
        <v>I</v>
      </c>
      <c r="C36" s="13">
        <f t="shared" si="2"/>
        <v>36075.381999999998</v>
      </c>
      <c r="D36" s="10" t="str">
        <f t="shared" si="3"/>
        <v>vis</v>
      </c>
      <c r="E36" s="56">
        <f>VLOOKUP(C36,Active!C$21:E$973,3,FALSE)</f>
        <v>3083.0003716023302</v>
      </c>
      <c r="F36" s="11" t="s">
        <v>69</v>
      </c>
      <c r="G36" s="10" t="str">
        <f t="shared" si="4"/>
        <v>36075.382</v>
      </c>
      <c r="H36" s="13">
        <f t="shared" si="5"/>
        <v>3083</v>
      </c>
      <c r="I36" s="57" t="s">
        <v>112</v>
      </c>
      <c r="J36" s="58" t="s">
        <v>113</v>
      </c>
      <c r="K36" s="57">
        <v>3083</v>
      </c>
      <c r="L36" s="57" t="s">
        <v>114</v>
      </c>
      <c r="M36" s="58" t="s">
        <v>115</v>
      </c>
      <c r="N36" s="58"/>
      <c r="O36" s="59" t="s">
        <v>75</v>
      </c>
      <c r="P36" s="59" t="s">
        <v>111</v>
      </c>
    </row>
    <row r="37" spans="1:16" ht="12.75" customHeight="1" thickBot="1" x14ac:dyDescent="0.25">
      <c r="A37" s="13" t="str">
        <f t="shared" si="0"/>
        <v> VSS 4.336 </v>
      </c>
      <c r="B37" s="11" t="str">
        <f t="shared" si="1"/>
        <v>I</v>
      </c>
      <c r="C37" s="13">
        <f t="shared" si="2"/>
        <v>36086.425000000003</v>
      </c>
      <c r="D37" s="10" t="str">
        <f t="shared" si="3"/>
        <v>vis</v>
      </c>
      <c r="E37" s="56">
        <f>VLOOKUP(C37,Active!C$21:E$973,3,FALSE)</f>
        <v>3087.0038882292706</v>
      </c>
      <c r="F37" s="11" t="s">
        <v>69</v>
      </c>
      <c r="G37" s="10" t="str">
        <f t="shared" si="4"/>
        <v>36086.425</v>
      </c>
      <c r="H37" s="13">
        <f t="shared" si="5"/>
        <v>3087</v>
      </c>
      <c r="I37" s="57" t="s">
        <v>116</v>
      </c>
      <c r="J37" s="58" t="s">
        <v>117</v>
      </c>
      <c r="K37" s="57">
        <v>3087</v>
      </c>
      <c r="L37" s="57" t="s">
        <v>118</v>
      </c>
      <c r="M37" s="58" t="s">
        <v>115</v>
      </c>
      <c r="N37" s="58"/>
      <c r="O37" s="59" t="s">
        <v>75</v>
      </c>
      <c r="P37" s="59" t="s">
        <v>111</v>
      </c>
    </row>
    <row r="38" spans="1:16" ht="12.75" customHeight="1" thickBot="1" x14ac:dyDescent="0.25">
      <c r="A38" s="13" t="str">
        <f t="shared" si="0"/>
        <v> VSS 4.336 </v>
      </c>
      <c r="B38" s="11" t="str">
        <f t="shared" si="1"/>
        <v>I</v>
      </c>
      <c r="C38" s="13">
        <f t="shared" si="2"/>
        <v>36108.480000000003</v>
      </c>
      <c r="D38" s="10" t="str">
        <f t="shared" si="3"/>
        <v>vis</v>
      </c>
      <c r="E38" s="56">
        <f>VLOOKUP(C38,Active!C$21:E$973,3,FALSE)</f>
        <v>3094.9996827784989</v>
      </c>
      <c r="F38" s="11" t="s">
        <v>69</v>
      </c>
      <c r="G38" s="10" t="str">
        <f t="shared" si="4"/>
        <v>36108.480</v>
      </c>
      <c r="H38" s="13">
        <f t="shared" si="5"/>
        <v>3095</v>
      </c>
      <c r="I38" s="57" t="s">
        <v>119</v>
      </c>
      <c r="J38" s="58" t="s">
        <v>120</v>
      </c>
      <c r="K38" s="57">
        <v>3095</v>
      </c>
      <c r="L38" s="57" t="s">
        <v>121</v>
      </c>
      <c r="M38" s="58" t="s">
        <v>115</v>
      </c>
      <c r="N38" s="58"/>
      <c r="O38" s="59" t="s">
        <v>75</v>
      </c>
      <c r="P38" s="59" t="s">
        <v>111</v>
      </c>
    </row>
    <row r="39" spans="1:16" ht="12.75" customHeight="1" thickBot="1" x14ac:dyDescent="0.25">
      <c r="A39" s="13" t="str">
        <f t="shared" si="0"/>
        <v> VSS 4.336 </v>
      </c>
      <c r="B39" s="11" t="str">
        <f t="shared" si="1"/>
        <v>I</v>
      </c>
      <c r="C39" s="13">
        <f t="shared" si="2"/>
        <v>36133.307000000001</v>
      </c>
      <c r="D39" s="10" t="str">
        <f t="shared" si="3"/>
        <v>vis</v>
      </c>
      <c r="E39" s="56">
        <f>VLOOKUP(C39,Active!C$21:E$973,3,FALSE)</f>
        <v>3104.0004350466315</v>
      </c>
      <c r="F39" s="11" t="s">
        <v>69</v>
      </c>
      <c r="G39" s="10" t="str">
        <f t="shared" si="4"/>
        <v>36133.307</v>
      </c>
      <c r="H39" s="13">
        <f t="shared" si="5"/>
        <v>3104</v>
      </c>
      <c r="I39" s="57" t="s">
        <v>122</v>
      </c>
      <c r="J39" s="58" t="s">
        <v>123</v>
      </c>
      <c r="K39" s="57">
        <v>3104</v>
      </c>
      <c r="L39" s="57" t="s">
        <v>114</v>
      </c>
      <c r="M39" s="58" t="s">
        <v>115</v>
      </c>
      <c r="N39" s="58"/>
      <c r="O39" s="59" t="s">
        <v>75</v>
      </c>
      <c r="P39" s="59" t="s">
        <v>111</v>
      </c>
    </row>
    <row r="40" spans="1:16" ht="12.75" customHeight="1" thickBot="1" x14ac:dyDescent="0.25">
      <c r="A40" s="13" t="str">
        <f t="shared" si="0"/>
        <v> BRNO 30 </v>
      </c>
      <c r="B40" s="11" t="str">
        <f t="shared" si="1"/>
        <v>I</v>
      </c>
      <c r="C40" s="13">
        <f t="shared" si="2"/>
        <v>47373.449000000001</v>
      </c>
      <c r="D40" s="10" t="str">
        <f t="shared" si="3"/>
        <v>vis</v>
      </c>
      <c r="E40" s="56">
        <f>VLOOKUP(C40,Active!C$21:E$973,3,FALSE)</f>
        <v>7178.9886978510503</v>
      </c>
      <c r="F40" s="11" t="s">
        <v>69</v>
      </c>
      <c r="G40" s="10" t="str">
        <f t="shared" si="4"/>
        <v>47373.449</v>
      </c>
      <c r="H40" s="13">
        <f t="shared" si="5"/>
        <v>7179</v>
      </c>
      <c r="I40" s="57" t="s">
        <v>129</v>
      </c>
      <c r="J40" s="58" t="s">
        <v>130</v>
      </c>
      <c r="K40" s="57">
        <v>7179</v>
      </c>
      <c r="L40" s="57" t="s">
        <v>131</v>
      </c>
      <c r="M40" s="58" t="s">
        <v>115</v>
      </c>
      <c r="N40" s="58"/>
      <c r="O40" s="59" t="s">
        <v>132</v>
      </c>
      <c r="P40" s="59" t="s">
        <v>133</v>
      </c>
    </row>
    <row r="41" spans="1:16" ht="12.75" customHeight="1" thickBot="1" x14ac:dyDescent="0.25">
      <c r="A41" s="13" t="str">
        <f t="shared" si="0"/>
        <v> BBS 123 </v>
      </c>
      <c r="B41" s="11" t="str">
        <f t="shared" si="1"/>
        <v>I</v>
      </c>
      <c r="C41" s="13">
        <f t="shared" si="2"/>
        <v>51767.396200000003</v>
      </c>
      <c r="D41" s="10" t="str">
        <f t="shared" si="3"/>
        <v>vis</v>
      </c>
      <c r="E41" s="56">
        <f>VLOOKUP(C41,Active!C$21:E$973,3,FALSE)</f>
        <v>8771.9653050311335</v>
      </c>
      <c r="F41" s="11" t="s">
        <v>69</v>
      </c>
      <c r="G41" s="10" t="str">
        <f t="shared" si="4"/>
        <v>51767.3962</v>
      </c>
      <c r="H41" s="13">
        <f t="shared" si="5"/>
        <v>8772</v>
      </c>
      <c r="I41" s="57" t="s">
        <v>152</v>
      </c>
      <c r="J41" s="58" t="s">
        <v>153</v>
      </c>
      <c r="K41" s="57">
        <v>8772</v>
      </c>
      <c r="L41" s="57" t="s">
        <v>154</v>
      </c>
      <c r="M41" s="58" t="s">
        <v>141</v>
      </c>
      <c r="N41" s="58" t="s">
        <v>142</v>
      </c>
      <c r="O41" s="59" t="s">
        <v>143</v>
      </c>
      <c r="P41" s="59" t="s">
        <v>155</v>
      </c>
    </row>
    <row r="42" spans="1:16" ht="12.75" customHeight="1" thickBot="1" x14ac:dyDescent="0.25">
      <c r="A42" s="13" t="str">
        <f t="shared" si="0"/>
        <v> BBS 125 </v>
      </c>
      <c r="B42" s="11" t="str">
        <f t="shared" si="1"/>
        <v>I</v>
      </c>
      <c r="C42" s="13">
        <f t="shared" si="2"/>
        <v>52051.499400000001</v>
      </c>
      <c r="D42" s="10" t="str">
        <f t="shared" si="3"/>
        <v>vis</v>
      </c>
      <c r="E42" s="56">
        <f>VLOOKUP(C42,Active!C$21:E$973,3,FALSE)</f>
        <v>8874.9637551775086</v>
      </c>
      <c r="F42" s="11" t="s">
        <v>69</v>
      </c>
      <c r="G42" s="10" t="str">
        <f t="shared" si="4"/>
        <v>52051.4994</v>
      </c>
      <c r="H42" s="13">
        <f t="shared" si="5"/>
        <v>8875</v>
      </c>
      <c r="I42" s="57" t="s">
        <v>156</v>
      </c>
      <c r="J42" s="58" t="s">
        <v>157</v>
      </c>
      <c r="K42" s="57">
        <v>8875</v>
      </c>
      <c r="L42" s="57" t="s">
        <v>158</v>
      </c>
      <c r="M42" s="58" t="s">
        <v>141</v>
      </c>
      <c r="N42" s="58" t="s">
        <v>142</v>
      </c>
      <c r="O42" s="59" t="s">
        <v>143</v>
      </c>
      <c r="P42" s="59" t="s">
        <v>159</v>
      </c>
    </row>
    <row r="43" spans="1:16" x14ac:dyDescent="0.2">
      <c r="B43" s="11"/>
      <c r="E43" s="56"/>
      <c r="F43" s="11"/>
    </row>
    <row r="44" spans="1:16" x14ac:dyDescent="0.2">
      <c r="B44" s="11"/>
      <c r="E44" s="56"/>
      <c r="F44" s="11"/>
    </row>
    <row r="45" spans="1:16" x14ac:dyDescent="0.2">
      <c r="B45" s="11"/>
      <c r="E45" s="56"/>
      <c r="F45" s="11"/>
    </row>
    <row r="46" spans="1:16" x14ac:dyDescent="0.2">
      <c r="B46" s="11"/>
      <c r="E46" s="56"/>
      <c r="F46" s="11"/>
    </row>
    <row r="47" spans="1:16" x14ac:dyDescent="0.2">
      <c r="B47" s="11"/>
      <c r="E47" s="56"/>
      <c r="F47" s="11"/>
    </row>
    <row r="48" spans="1:16" x14ac:dyDescent="0.2">
      <c r="B48" s="11"/>
      <c r="E48" s="56"/>
      <c r="F48" s="11"/>
    </row>
    <row r="49" spans="2:6" x14ac:dyDescent="0.2">
      <c r="B49" s="11"/>
      <c r="E49" s="56"/>
      <c r="F49" s="11"/>
    </row>
    <row r="50" spans="2:6" x14ac:dyDescent="0.2">
      <c r="B50" s="11"/>
      <c r="E50" s="56"/>
      <c r="F50" s="11"/>
    </row>
    <row r="51" spans="2:6" x14ac:dyDescent="0.2">
      <c r="B51" s="11"/>
      <c r="E51" s="56"/>
      <c r="F51" s="11"/>
    </row>
    <row r="52" spans="2:6" x14ac:dyDescent="0.2">
      <c r="B52" s="11"/>
      <c r="E52" s="56"/>
      <c r="F52" s="11"/>
    </row>
    <row r="53" spans="2:6" x14ac:dyDescent="0.2">
      <c r="B53" s="11"/>
      <c r="E53" s="56"/>
      <c r="F53" s="11"/>
    </row>
    <row r="54" spans="2:6" x14ac:dyDescent="0.2">
      <c r="B54" s="11"/>
      <c r="E54" s="56"/>
      <c r="F54" s="11"/>
    </row>
    <row r="55" spans="2:6" x14ac:dyDescent="0.2">
      <c r="B55" s="11"/>
      <c r="E55" s="56"/>
      <c r="F55" s="11"/>
    </row>
    <row r="56" spans="2:6" x14ac:dyDescent="0.2">
      <c r="B56" s="11"/>
      <c r="E56" s="56"/>
      <c r="F56" s="11"/>
    </row>
    <row r="57" spans="2:6" x14ac:dyDescent="0.2">
      <c r="B57" s="11"/>
      <c r="E57" s="56"/>
      <c r="F57" s="11"/>
    </row>
    <row r="58" spans="2:6" x14ac:dyDescent="0.2">
      <c r="B58" s="11"/>
      <c r="E58" s="56"/>
      <c r="F58" s="11"/>
    </row>
    <row r="59" spans="2:6" x14ac:dyDescent="0.2">
      <c r="B59" s="11"/>
      <c r="E59" s="56"/>
      <c r="F59" s="11"/>
    </row>
    <row r="60" spans="2:6" x14ac:dyDescent="0.2">
      <c r="B60" s="11"/>
      <c r="E60" s="56"/>
      <c r="F60" s="11"/>
    </row>
    <row r="61" spans="2:6" x14ac:dyDescent="0.2">
      <c r="B61" s="11"/>
      <c r="E61" s="56"/>
      <c r="F61" s="11"/>
    </row>
    <row r="62" spans="2:6" x14ac:dyDescent="0.2">
      <c r="B62" s="11"/>
      <c r="E62" s="56"/>
      <c r="F62" s="11"/>
    </row>
    <row r="63" spans="2:6" x14ac:dyDescent="0.2">
      <c r="B63" s="11"/>
      <c r="E63" s="56"/>
      <c r="F63" s="11"/>
    </row>
    <row r="64" spans="2:6" x14ac:dyDescent="0.2">
      <c r="B64" s="11"/>
      <c r="E64" s="56"/>
      <c r="F64" s="11"/>
    </row>
    <row r="65" spans="2:6" x14ac:dyDescent="0.2">
      <c r="B65" s="11"/>
      <c r="E65" s="56"/>
      <c r="F65" s="11"/>
    </row>
    <row r="66" spans="2:6" x14ac:dyDescent="0.2">
      <c r="B66" s="11"/>
      <c r="E66" s="56"/>
      <c r="F66" s="11"/>
    </row>
    <row r="67" spans="2:6" x14ac:dyDescent="0.2">
      <c r="B67" s="11"/>
      <c r="E67" s="56"/>
      <c r="F67" s="11"/>
    </row>
    <row r="68" spans="2:6" x14ac:dyDescent="0.2">
      <c r="B68" s="11"/>
      <c r="E68" s="56"/>
      <c r="F68" s="11"/>
    </row>
    <row r="69" spans="2:6" x14ac:dyDescent="0.2">
      <c r="B69" s="11"/>
      <c r="E69" s="56"/>
      <c r="F69" s="11"/>
    </row>
    <row r="70" spans="2:6" x14ac:dyDescent="0.2">
      <c r="B70" s="11"/>
      <c r="E70" s="56"/>
      <c r="F70" s="11"/>
    </row>
    <row r="71" spans="2:6" x14ac:dyDescent="0.2">
      <c r="B71" s="11"/>
      <c r="E71" s="56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</sheetData>
  <phoneticPr fontId="7" type="noConversion"/>
  <hyperlinks>
    <hyperlink ref="P14" r:id="rId1" display="http://www.konkoly.hu/cgi-bin/IBVS?5027"/>
    <hyperlink ref="P15" r:id="rId2" display="http://www.konkoly.hu/cgi-bin/IBVS?5027"/>
    <hyperlink ref="P17" r:id="rId3" display="http://var.astro.cz/oejv/issues/oejv0003.pdf"/>
    <hyperlink ref="P18" r:id="rId4" display="http://www.bav-astro.de/sfs/BAVM_link.php?BAVMnr=201"/>
    <hyperlink ref="P19" r:id="rId5" display="http://var.astro.cz/oejv/issues/oejv0137.pdf"/>
    <hyperlink ref="P20" r:id="rId6" display="http://www.konkoly.hu/cgi-bin/IBVS?5945"/>
    <hyperlink ref="P21" r:id="rId7" display="http://www.konkoly.hu/cgi-bin/IBVS?5992"/>
    <hyperlink ref="P22" r:id="rId8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2024-02-14T01:51:36Z</dcterms:modified>
</cp:coreProperties>
</file>