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E9C6C0-E326-4B57-B166-AF2A4760E0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5" r:id="rId1"/>
    <sheet name="A (old)" sheetId="1" r:id="rId2"/>
    <sheet name="B" sheetId="2" r:id="rId3"/>
    <sheet name="C" sheetId="3" r:id="rId4"/>
    <sheet name="D" sheetId="4" r:id="rId5"/>
    <sheet name="BAV" sheetId="6" r:id="rId6"/>
  </sheets>
  <calcPr calcId="181029"/>
</workbook>
</file>

<file path=xl/calcChain.xml><?xml version="1.0" encoding="utf-8"?>
<calcChain xmlns="http://schemas.openxmlformats.org/spreadsheetml/2006/main">
  <c r="E40" i="5" l="1"/>
  <c r="F40" i="5"/>
  <c r="G40" i="5"/>
  <c r="J40" i="5"/>
  <c r="E41" i="5"/>
  <c r="F41" i="5"/>
  <c r="G41" i="5"/>
  <c r="J41" i="5"/>
  <c r="E43" i="5"/>
  <c r="F43" i="5"/>
  <c r="G43" i="5"/>
  <c r="J43" i="5"/>
  <c r="E44" i="5"/>
  <c r="F44" i="5"/>
  <c r="E45" i="5"/>
  <c r="F45" i="5"/>
  <c r="G45" i="5"/>
  <c r="J45" i="5"/>
  <c r="E46" i="5"/>
  <c r="F46" i="5"/>
  <c r="G46" i="5"/>
  <c r="J46" i="5"/>
  <c r="E47" i="5"/>
  <c r="F47" i="5"/>
  <c r="G47" i="5"/>
  <c r="E48" i="5"/>
  <c r="F48" i="5"/>
  <c r="G48" i="5"/>
  <c r="J48" i="5"/>
  <c r="E49" i="5"/>
  <c r="F49" i="5"/>
  <c r="G49" i="5"/>
  <c r="J49" i="5"/>
  <c r="E50" i="5"/>
  <c r="F50" i="5"/>
  <c r="G50" i="5"/>
  <c r="J50" i="5"/>
  <c r="E42" i="5"/>
  <c r="F42" i="5"/>
  <c r="D9" i="5"/>
  <c r="C9" i="5"/>
  <c r="E32" i="5"/>
  <c r="F32" i="5"/>
  <c r="E33" i="5"/>
  <c r="F33" i="5"/>
  <c r="E34" i="5"/>
  <c r="F34" i="5"/>
  <c r="K34" i="5"/>
  <c r="E30" i="5"/>
  <c r="F30" i="5"/>
  <c r="G30" i="5"/>
  <c r="J30" i="5"/>
  <c r="E36" i="5"/>
  <c r="F36" i="5"/>
  <c r="G36" i="5"/>
  <c r="J36" i="5"/>
  <c r="E37" i="5"/>
  <c r="F37" i="5"/>
  <c r="G37" i="5"/>
  <c r="J37" i="5"/>
  <c r="E38" i="5"/>
  <c r="F38" i="5"/>
  <c r="E39" i="5"/>
  <c r="F39" i="5"/>
  <c r="E23" i="5"/>
  <c r="F23" i="5"/>
  <c r="G23" i="5"/>
  <c r="H23" i="5"/>
  <c r="E24" i="5"/>
  <c r="F24" i="5"/>
  <c r="E25" i="5"/>
  <c r="F25" i="5"/>
  <c r="E27" i="5"/>
  <c r="F27" i="5"/>
  <c r="G27" i="5"/>
  <c r="H27" i="5"/>
  <c r="E31" i="5"/>
  <c r="F31" i="5"/>
  <c r="K31" i="5"/>
  <c r="E29" i="5"/>
  <c r="F29" i="5"/>
  <c r="G29" i="5"/>
  <c r="E35" i="5"/>
  <c r="F35" i="5"/>
  <c r="K35" i="5"/>
  <c r="K47" i="5"/>
  <c r="G33" i="5"/>
  <c r="K33" i="5"/>
  <c r="G24" i="5"/>
  <c r="H24" i="5"/>
  <c r="G25" i="5"/>
  <c r="P50" i="5"/>
  <c r="G30" i="6"/>
  <c r="C30" i="6"/>
  <c r="E30" i="6"/>
  <c r="G29" i="6"/>
  <c r="C29" i="6"/>
  <c r="E29" i="6"/>
  <c r="G31" i="6"/>
  <c r="C31" i="6"/>
  <c r="E31" i="6"/>
  <c r="G28" i="6"/>
  <c r="C28" i="6"/>
  <c r="E28" i="6"/>
  <c r="G27" i="6"/>
  <c r="C27" i="6"/>
  <c r="E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G15" i="6"/>
  <c r="C15" i="6"/>
  <c r="E15" i="6"/>
  <c r="G14" i="6"/>
  <c r="C14" i="6"/>
  <c r="E14" i="6"/>
  <c r="G13" i="6"/>
  <c r="C13" i="6"/>
  <c r="E13" i="6"/>
  <c r="G12" i="6"/>
  <c r="C12" i="6"/>
  <c r="E12" i="6"/>
  <c r="G11" i="6"/>
  <c r="C11" i="6"/>
  <c r="E11" i="6"/>
  <c r="E28" i="5"/>
  <c r="H30" i="6"/>
  <c r="B30" i="6"/>
  <c r="D30" i="6"/>
  <c r="A30" i="6"/>
  <c r="H29" i="6"/>
  <c r="B29" i="6"/>
  <c r="D29" i="6"/>
  <c r="A29" i="6"/>
  <c r="H31" i="6"/>
  <c r="B31" i="6"/>
  <c r="D31" i="6"/>
  <c r="A31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P43" i="5"/>
  <c r="P49" i="5"/>
  <c r="P48" i="5"/>
  <c r="P46" i="5"/>
  <c r="P45" i="5"/>
  <c r="P47" i="5"/>
  <c r="L47" i="5"/>
  <c r="E21" i="5"/>
  <c r="F21" i="5"/>
  <c r="G21" i="5"/>
  <c r="I21" i="5"/>
  <c r="E22" i="5"/>
  <c r="F22" i="5"/>
  <c r="K22" i="5"/>
  <c r="G22" i="5"/>
  <c r="Q22" i="5"/>
  <c r="E26" i="5"/>
  <c r="F26" i="5"/>
  <c r="G26" i="5"/>
  <c r="F28" i="5"/>
  <c r="G28" i="5"/>
  <c r="K28" i="5"/>
  <c r="G31" i="5"/>
  <c r="G35" i="5"/>
  <c r="L35" i="5"/>
  <c r="G38" i="5"/>
  <c r="P44" i="5"/>
  <c r="P41" i="5"/>
  <c r="F16" i="5"/>
  <c r="C17" i="5"/>
  <c r="P42" i="5"/>
  <c r="P40" i="5"/>
  <c r="Q28" i="5"/>
  <c r="Q31" i="5"/>
  <c r="P21" i="5"/>
  <c r="P22" i="5"/>
  <c r="P23" i="5"/>
  <c r="P24" i="5"/>
  <c r="H25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J38" i="5"/>
  <c r="P38" i="5"/>
  <c r="P39" i="5"/>
  <c r="C15" i="4"/>
  <c r="C18" i="4"/>
  <c r="C21" i="4"/>
  <c r="P21" i="4"/>
  <c r="E21" i="4"/>
  <c r="F21" i="4"/>
  <c r="E22" i="4"/>
  <c r="F22" i="4"/>
  <c r="G22" i="4"/>
  <c r="J22" i="4"/>
  <c r="P22" i="4"/>
  <c r="E23" i="4"/>
  <c r="F23" i="4"/>
  <c r="P23" i="4"/>
  <c r="E24" i="4"/>
  <c r="F24" i="4"/>
  <c r="G24" i="4"/>
  <c r="I24" i="4"/>
  <c r="P24" i="4"/>
  <c r="E25" i="4"/>
  <c r="F25" i="4"/>
  <c r="G25" i="4"/>
  <c r="I25" i="4"/>
  <c r="P25" i="4"/>
  <c r="E26" i="4"/>
  <c r="F26" i="4"/>
  <c r="G26" i="4"/>
  <c r="J26" i="4"/>
  <c r="P26" i="4"/>
  <c r="E27" i="4"/>
  <c r="F27" i="4"/>
  <c r="G27" i="4"/>
  <c r="I27" i="4"/>
  <c r="P27" i="4"/>
  <c r="E28" i="4"/>
  <c r="F28" i="4"/>
  <c r="G28" i="4"/>
  <c r="M28" i="4"/>
  <c r="P28" i="4"/>
  <c r="E29" i="4"/>
  <c r="F29" i="4"/>
  <c r="G29" i="4"/>
  <c r="J29" i="4"/>
  <c r="P29" i="4"/>
  <c r="E30" i="4"/>
  <c r="F30" i="4"/>
  <c r="G30" i="4"/>
  <c r="J30" i="4"/>
  <c r="P30" i="4"/>
  <c r="E31" i="4"/>
  <c r="F31" i="4"/>
  <c r="G31" i="4"/>
  <c r="K31" i="4"/>
  <c r="P31" i="4"/>
  <c r="E32" i="4"/>
  <c r="F32" i="4"/>
  <c r="G32" i="4"/>
  <c r="K32" i="4"/>
  <c r="P32" i="4"/>
  <c r="E33" i="4"/>
  <c r="F33" i="4"/>
  <c r="G33" i="4"/>
  <c r="K33" i="4"/>
  <c r="P33" i="4"/>
  <c r="E34" i="4"/>
  <c r="F34" i="4"/>
  <c r="G34" i="4"/>
  <c r="K34" i="4"/>
  <c r="P34" i="4"/>
  <c r="E35" i="4"/>
  <c r="F35" i="4"/>
  <c r="G35" i="4"/>
  <c r="J35" i="4"/>
  <c r="P35" i="4"/>
  <c r="E36" i="4"/>
  <c r="F36" i="4"/>
  <c r="G36" i="4"/>
  <c r="J36" i="4"/>
  <c r="P36" i="4"/>
  <c r="E37" i="4"/>
  <c r="F37" i="4"/>
  <c r="G37" i="4"/>
  <c r="J37" i="4"/>
  <c r="P37" i="4"/>
  <c r="E38" i="4"/>
  <c r="F38" i="4"/>
  <c r="G38" i="4"/>
  <c r="J38" i="4"/>
  <c r="P38" i="4"/>
  <c r="C15" i="3"/>
  <c r="C18" i="3"/>
  <c r="C21" i="3"/>
  <c r="P21" i="3"/>
  <c r="E22" i="3"/>
  <c r="F22" i="3"/>
  <c r="J22" i="3"/>
  <c r="G22" i="3"/>
  <c r="P22" i="3"/>
  <c r="E23" i="3"/>
  <c r="F23" i="3"/>
  <c r="G23" i="3"/>
  <c r="I23" i="3"/>
  <c r="P23" i="3"/>
  <c r="E24" i="3"/>
  <c r="F24" i="3"/>
  <c r="G24" i="3"/>
  <c r="I24" i="3"/>
  <c r="P24" i="3"/>
  <c r="E25" i="3"/>
  <c r="F25" i="3"/>
  <c r="G25" i="3"/>
  <c r="I25" i="3"/>
  <c r="P25" i="3"/>
  <c r="E26" i="3"/>
  <c r="F26" i="3"/>
  <c r="G26" i="3"/>
  <c r="J26" i="3"/>
  <c r="P26" i="3"/>
  <c r="E27" i="3"/>
  <c r="F27" i="3"/>
  <c r="G27" i="3"/>
  <c r="I27" i="3"/>
  <c r="P27" i="3"/>
  <c r="E28" i="3"/>
  <c r="F28" i="3"/>
  <c r="G28" i="3"/>
  <c r="M28" i="3"/>
  <c r="P28" i="3"/>
  <c r="E29" i="3"/>
  <c r="F29" i="3"/>
  <c r="G29" i="3"/>
  <c r="J29" i="3"/>
  <c r="P29" i="3"/>
  <c r="E30" i="3"/>
  <c r="F30" i="3"/>
  <c r="G30" i="3"/>
  <c r="J30" i="3"/>
  <c r="P30" i="3"/>
  <c r="E31" i="3"/>
  <c r="F31" i="3"/>
  <c r="G31" i="3"/>
  <c r="K31" i="3"/>
  <c r="P31" i="3"/>
  <c r="E32" i="3"/>
  <c r="F32" i="3"/>
  <c r="G32" i="3"/>
  <c r="K32" i="3"/>
  <c r="P32" i="3"/>
  <c r="E33" i="3"/>
  <c r="F33" i="3"/>
  <c r="G33" i="3"/>
  <c r="P33" i="3"/>
  <c r="E34" i="3"/>
  <c r="F34" i="3"/>
  <c r="G34" i="3"/>
  <c r="K34" i="3"/>
  <c r="P34" i="3"/>
  <c r="E35" i="3"/>
  <c r="F35" i="3"/>
  <c r="G35" i="3"/>
  <c r="J35" i="3"/>
  <c r="P35" i="3"/>
  <c r="E36" i="3"/>
  <c r="F36" i="3"/>
  <c r="G36" i="3"/>
  <c r="J36" i="3"/>
  <c r="P36" i="3"/>
  <c r="E37" i="3"/>
  <c r="F37" i="3"/>
  <c r="G37" i="3"/>
  <c r="J37" i="3"/>
  <c r="P37" i="3"/>
  <c r="E38" i="3"/>
  <c r="F38" i="3"/>
  <c r="G38" i="3"/>
  <c r="J38" i="3"/>
  <c r="P38" i="3"/>
  <c r="C15" i="2"/>
  <c r="C18" i="2"/>
  <c r="C21" i="2"/>
  <c r="G21" i="2"/>
  <c r="E21" i="2"/>
  <c r="H21" i="2"/>
  <c r="E22" i="2"/>
  <c r="F22" i="2"/>
  <c r="G22" i="2"/>
  <c r="J22" i="2"/>
  <c r="P22" i="2"/>
  <c r="E23" i="2"/>
  <c r="F23" i="2"/>
  <c r="G23" i="2"/>
  <c r="I23" i="2"/>
  <c r="P23" i="2"/>
  <c r="E24" i="2"/>
  <c r="F24" i="2"/>
  <c r="G24" i="2"/>
  <c r="I24" i="2"/>
  <c r="P24" i="2"/>
  <c r="E25" i="2"/>
  <c r="F25" i="2"/>
  <c r="G25" i="2"/>
  <c r="I25" i="2"/>
  <c r="P25" i="2"/>
  <c r="E26" i="2"/>
  <c r="F26" i="2"/>
  <c r="G26" i="2"/>
  <c r="J26" i="2"/>
  <c r="P26" i="2"/>
  <c r="E27" i="2"/>
  <c r="F27" i="2"/>
  <c r="G27" i="2"/>
  <c r="I27" i="2"/>
  <c r="P27" i="2"/>
  <c r="E28" i="2"/>
  <c r="F28" i="2"/>
  <c r="G28" i="2"/>
  <c r="M28" i="2"/>
  <c r="P28" i="2"/>
  <c r="E29" i="2"/>
  <c r="F29" i="2"/>
  <c r="G29" i="2"/>
  <c r="J29" i="2"/>
  <c r="P29" i="2"/>
  <c r="E30" i="2"/>
  <c r="F30" i="2"/>
  <c r="G30" i="2"/>
  <c r="J30" i="2"/>
  <c r="P30" i="2"/>
  <c r="E31" i="2"/>
  <c r="F31" i="2"/>
  <c r="G31" i="2"/>
  <c r="K31" i="2"/>
  <c r="P31" i="2"/>
  <c r="E32" i="2"/>
  <c r="F32" i="2"/>
  <c r="G32" i="2"/>
  <c r="K32" i="2"/>
  <c r="P32" i="2"/>
  <c r="E33" i="2"/>
  <c r="F33" i="2"/>
  <c r="G33" i="2"/>
  <c r="K33" i="2"/>
  <c r="P33" i="2"/>
  <c r="E34" i="2"/>
  <c r="F34" i="2"/>
  <c r="G34" i="2"/>
  <c r="K34" i="2"/>
  <c r="P34" i="2"/>
  <c r="E35" i="2"/>
  <c r="F35" i="2"/>
  <c r="G35" i="2"/>
  <c r="L35" i="2"/>
  <c r="P35" i="2"/>
  <c r="E36" i="2"/>
  <c r="F36" i="2"/>
  <c r="G36" i="2"/>
  <c r="J36" i="2"/>
  <c r="P36" i="2"/>
  <c r="E37" i="2"/>
  <c r="F37" i="2"/>
  <c r="G37" i="2"/>
  <c r="J37" i="2"/>
  <c r="P37" i="2"/>
  <c r="E38" i="2"/>
  <c r="F38" i="2"/>
  <c r="G38" i="2"/>
  <c r="J38" i="2"/>
  <c r="P38" i="2"/>
  <c r="D15" i="1"/>
  <c r="C17" i="1"/>
  <c r="C21" i="1"/>
  <c r="E21" i="1"/>
  <c r="F21" i="1"/>
  <c r="Q21" i="1"/>
  <c r="E22" i="1"/>
  <c r="F22" i="1"/>
  <c r="J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J26" i="1"/>
  <c r="Q26" i="1"/>
  <c r="E27" i="1"/>
  <c r="F27" i="1"/>
  <c r="G27" i="1"/>
  <c r="I27" i="1"/>
  <c r="Q27" i="1"/>
  <c r="E28" i="1"/>
  <c r="F28" i="1"/>
  <c r="G28" i="1"/>
  <c r="K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L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C12" i="2"/>
  <c r="C16" i="2"/>
  <c r="D18" i="2"/>
  <c r="K33" i="3"/>
  <c r="C11" i="3"/>
  <c r="P21" i="2"/>
  <c r="Q26" i="5"/>
  <c r="K26" i="5"/>
  <c r="G32" i="5"/>
  <c r="K32" i="5"/>
  <c r="G44" i="5"/>
  <c r="K44" i="5"/>
  <c r="D16" i="2"/>
  <c r="K29" i="5"/>
  <c r="J29" i="5"/>
  <c r="Q29" i="5"/>
  <c r="C12" i="3"/>
  <c r="C16" i="3"/>
  <c r="D18" i="3"/>
  <c r="C11" i="2"/>
  <c r="E21" i="3"/>
  <c r="F21" i="3"/>
  <c r="G21" i="3"/>
  <c r="C11" i="4"/>
  <c r="C12" i="4"/>
  <c r="C16" i="4"/>
  <c r="D18" i="4"/>
  <c r="G21" i="1"/>
  <c r="G21" i="4"/>
  <c r="G34" i="5"/>
  <c r="H21" i="3"/>
  <c r="D16" i="3"/>
  <c r="D16" i="4"/>
  <c r="H21" i="4"/>
  <c r="D16" i="1"/>
  <c r="H21" i="1"/>
  <c r="C12" i="1"/>
  <c r="C16" i="1"/>
  <c r="D18" i="1"/>
  <c r="C11" i="1"/>
  <c r="N23" i="3"/>
  <c r="Q23" i="3"/>
  <c r="N31" i="3"/>
  <c r="Q31" i="3"/>
  <c r="N22" i="3"/>
  <c r="Q22" i="3"/>
  <c r="N29" i="3"/>
  <c r="Q29" i="3"/>
  <c r="N37" i="3"/>
  <c r="Q37" i="3"/>
  <c r="N26" i="3"/>
  <c r="Q26" i="3"/>
  <c r="N34" i="3"/>
  <c r="Q34" i="3"/>
  <c r="N25" i="3"/>
  <c r="Q25" i="3"/>
  <c r="N33" i="3"/>
  <c r="Q33" i="3"/>
  <c r="N36" i="3"/>
  <c r="Q36" i="3"/>
  <c r="N38" i="3"/>
  <c r="Q38" i="3"/>
  <c r="N27" i="3"/>
  <c r="Q27" i="3"/>
  <c r="N24" i="3"/>
  <c r="Q24" i="3"/>
  <c r="N35" i="3"/>
  <c r="Q35" i="3"/>
  <c r="N28" i="3"/>
  <c r="Q28" i="3"/>
  <c r="N30" i="3"/>
  <c r="Q30" i="3"/>
  <c r="N32" i="3"/>
  <c r="Q32" i="3"/>
  <c r="N25" i="4"/>
  <c r="Q25" i="4"/>
  <c r="N33" i="4"/>
  <c r="Q33" i="4"/>
  <c r="N24" i="4"/>
  <c r="Q24" i="4"/>
  <c r="N32" i="4"/>
  <c r="Q32" i="4"/>
  <c r="N23" i="4"/>
  <c r="Q23" i="4"/>
  <c r="N31" i="4"/>
  <c r="Q31" i="4"/>
  <c r="N30" i="4"/>
  <c r="Q30" i="4"/>
  <c r="N38" i="4"/>
  <c r="Q38" i="4"/>
  <c r="N22" i="4"/>
  <c r="Q22" i="4"/>
  <c r="N28" i="4"/>
  <c r="Q28" i="4"/>
  <c r="N36" i="4"/>
  <c r="Q36" i="4"/>
  <c r="N27" i="4"/>
  <c r="Q27" i="4"/>
  <c r="N35" i="4"/>
  <c r="Q35" i="4"/>
  <c r="N26" i="4"/>
  <c r="Q26" i="4"/>
  <c r="N37" i="4"/>
  <c r="Q37" i="4"/>
  <c r="N29" i="4"/>
  <c r="Q29" i="4"/>
  <c r="N34" i="4"/>
  <c r="Q34" i="4"/>
  <c r="N22" i="2"/>
  <c r="Q22" i="2"/>
  <c r="N30" i="2"/>
  <c r="Q30" i="2"/>
  <c r="N21" i="2"/>
  <c r="N28" i="2"/>
  <c r="Q28" i="2"/>
  <c r="N36" i="2"/>
  <c r="Q36" i="2"/>
  <c r="N32" i="2"/>
  <c r="Q32" i="2"/>
  <c r="N26" i="2"/>
  <c r="Q26" i="2"/>
  <c r="N29" i="2"/>
  <c r="Q29" i="2"/>
  <c r="N33" i="2"/>
  <c r="Q33" i="2"/>
  <c r="N38" i="2"/>
  <c r="Q38" i="2"/>
  <c r="N25" i="2"/>
  <c r="Q25" i="2"/>
  <c r="N37" i="2"/>
  <c r="Q37" i="2"/>
  <c r="N31" i="2"/>
  <c r="Q31" i="2"/>
  <c r="N24" i="2"/>
  <c r="Q24" i="2"/>
  <c r="N27" i="2"/>
  <c r="Q27" i="2"/>
  <c r="N35" i="2"/>
  <c r="Q35" i="2"/>
  <c r="N23" i="2"/>
  <c r="Q23" i="2"/>
  <c r="N34" i="2"/>
  <c r="Q34" i="2"/>
  <c r="O29" i="1"/>
  <c r="R29" i="1"/>
  <c r="O37" i="1"/>
  <c r="R37" i="1"/>
  <c r="O33" i="1"/>
  <c r="R33" i="1"/>
  <c r="O22" i="1"/>
  <c r="R22" i="1"/>
  <c r="O26" i="1"/>
  <c r="R26" i="1"/>
  <c r="O31" i="1"/>
  <c r="R31" i="1"/>
  <c r="O21" i="1"/>
  <c r="O35" i="1"/>
  <c r="R35" i="1"/>
  <c r="O30" i="1"/>
  <c r="R30" i="1"/>
  <c r="O24" i="1"/>
  <c r="R24" i="1"/>
  <c r="O34" i="1"/>
  <c r="R34" i="1"/>
  <c r="O28" i="1"/>
  <c r="R28" i="1"/>
  <c r="O38" i="1"/>
  <c r="R38" i="1"/>
  <c r="C15" i="1"/>
  <c r="C18" i="1"/>
  <c r="O27" i="1"/>
  <c r="R27" i="1"/>
  <c r="O23" i="1"/>
  <c r="R23" i="1"/>
  <c r="O32" i="1"/>
  <c r="R32" i="1"/>
  <c r="O36" i="1"/>
  <c r="R36" i="1"/>
  <c r="O25" i="1"/>
  <c r="R25" i="1"/>
  <c r="C9" i="3"/>
  <c r="Q18" i="3"/>
  <c r="Q18" i="4"/>
  <c r="Q18" i="2"/>
  <c r="C9" i="2"/>
  <c r="F9" i="2"/>
  <c r="R18" i="1"/>
  <c r="C9" i="1"/>
  <c r="F9" i="1"/>
  <c r="C11" i="5"/>
  <c r="C12" i="5"/>
  <c r="C16" i="5" l="1"/>
  <c r="D18" i="5" s="1"/>
  <c r="N45" i="5"/>
  <c r="Q45" i="5" s="1"/>
  <c r="N47" i="5"/>
  <c r="Q47" i="5" s="1"/>
  <c r="N49" i="5"/>
  <c r="Q49" i="5" s="1"/>
  <c r="N50" i="5"/>
  <c r="Q50" i="5" s="1"/>
  <c r="N35" i="5"/>
  <c r="Q35" i="5" s="1"/>
  <c r="N42" i="5"/>
  <c r="Q42" i="5" s="1"/>
  <c r="N24" i="5"/>
  <c r="Q24" i="5" s="1"/>
  <c r="N37" i="5"/>
  <c r="Q37" i="5" s="1"/>
  <c r="N23" i="5"/>
  <c r="Q23" i="5" s="1"/>
  <c r="N34" i="5"/>
  <c r="Q34" i="5" s="1"/>
  <c r="N39" i="5"/>
  <c r="Q39" i="5" s="1"/>
  <c r="N36" i="5"/>
  <c r="Q36" i="5" s="1"/>
  <c r="N41" i="5"/>
  <c r="Q41" i="5" s="1"/>
  <c r="N43" i="5"/>
  <c r="Q43" i="5" s="1"/>
  <c r="C15" i="5"/>
  <c r="F18" i="5" s="1"/>
  <c r="N38" i="5"/>
  <c r="Q38" i="5" s="1"/>
  <c r="N25" i="5"/>
  <c r="Q25" i="5" s="1"/>
  <c r="N27" i="5"/>
  <c r="Q27" i="5" s="1"/>
  <c r="N40" i="5"/>
  <c r="Q40" i="5" s="1"/>
  <c r="N33" i="5"/>
  <c r="Q33" i="5" s="1"/>
  <c r="N48" i="5"/>
  <c r="Q48" i="5" s="1"/>
  <c r="N44" i="5"/>
  <c r="Q44" i="5" s="1"/>
  <c r="N32" i="5"/>
  <c r="Q32" i="5" s="1"/>
  <c r="N46" i="5"/>
  <c r="Q46" i="5" s="1"/>
  <c r="N30" i="5"/>
  <c r="Q30" i="5" s="1"/>
  <c r="F17" i="5"/>
  <c r="C18" i="5" l="1"/>
  <c r="F19" i="5"/>
  <c r="Q18" i="5"/>
</calcChain>
</file>

<file path=xl/sharedStrings.xml><?xml version="1.0" encoding="utf-8"?>
<sst xmlns="http://schemas.openxmlformats.org/spreadsheetml/2006/main" count="576" uniqueCount="198">
  <si>
    <t>IBVS 6196</t>
  </si>
  <si>
    <t>s5</t>
  </si>
  <si>
    <t>s6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</si>
  <si>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</si>
  <si>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</si>
  <si>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</si>
  <si>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</si>
  <si>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</si>
  <si>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</si>
  <si>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</si>
  <si>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</si>
  <si>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</si>
  <si>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</si>
  <si>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</si>
  <si>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</si>
  <si>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</si>
  <si>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</si>
  <si>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</si>
  <si>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</si>
  <si>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</si>
  <si>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</si>
  <si>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</si>
  <si>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</si>
  <si>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</si>
  <si>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</si>
  <si>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</si>
  <si>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</si>
  <si>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</si>
  <si>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</si>
  <si>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</si>
  <si>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V731 Her</t>
  </si>
  <si>
    <t>EW/KE:</t>
  </si>
  <si>
    <t>IBVS 5027</t>
  </si>
  <si>
    <t>II</t>
  </si>
  <si>
    <t>I</t>
  </si>
  <si>
    <t>ROTSE</t>
  </si>
  <si>
    <t>I?</t>
  </si>
  <si>
    <t>II?</t>
  </si>
  <si>
    <t>IBVS</t>
  </si>
  <si>
    <t>Krajci</t>
  </si>
  <si>
    <t>BBSAG 128</t>
  </si>
  <si>
    <t>S5</t>
  </si>
  <si>
    <t>Misc</t>
  </si>
  <si>
    <t>Very confusing</t>
  </si>
  <si>
    <t>IBVS 5603</t>
  </si>
  <si>
    <t>Diff²</t>
  </si>
  <si>
    <t>Sum Diff²</t>
  </si>
  <si>
    <t>Poorer</t>
  </si>
  <si>
    <t>fit</t>
  </si>
  <si>
    <t>IBVS 5592</t>
  </si>
  <si>
    <t>Nelson</t>
  </si>
  <si>
    <t>S6</t>
  </si>
  <si>
    <t>RMS dev'n</t>
  </si>
  <si>
    <t>days</t>
  </si>
  <si>
    <t>See also page B</t>
  </si>
  <si>
    <t>IBVS 5672</t>
  </si>
  <si>
    <t>IBVS 5657</t>
  </si>
  <si>
    <t># of data points:</t>
  </si>
  <si>
    <t>IBVS 5731</t>
  </si>
  <si>
    <t>Sum</t>
  </si>
  <si>
    <t>ROTSE1</t>
  </si>
  <si>
    <t>J171946.28+435909.4</t>
  </si>
  <si>
    <t>V731 Her / gsc 3085-06214</t>
  </si>
  <si>
    <t>ToMcat</t>
  </si>
  <si>
    <t>This is possibly the best fit -- but is it real?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</si>
  <si>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</si>
  <si>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</si>
  <si>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</si>
  <si>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</si>
  <si>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</si>
  <si>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</si>
  <si>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</si>
  <si>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5837</t>
  </si>
  <si>
    <t>IBVS 5945</t>
  </si>
  <si>
    <t>Add cycle</t>
  </si>
  <si>
    <t>Old Cycle</t>
  </si>
  <si>
    <t>IBVS 5918</t>
  </si>
  <si>
    <t>IBVS 5992</t>
  </si>
  <si>
    <t>IBVS 6050</t>
  </si>
  <si>
    <t>IBVS 6048</t>
  </si>
  <si>
    <t>IBVS 6084</t>
  </si>
  <si>
    <t>V0731 Her / gsc 3085-0621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</si>
  <si>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</si>
  <si>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</si>
  <si>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</si>
  <si>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</si>
  <si>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</si>
  <si>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</si>
  <si>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</si>
  <si>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</si>
  <si>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</si>
  <si>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</si>
  <si>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</si>
  <si>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</si>
  <si>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2452426.4162 </t>
  </si>
  <si>
    <t> 31.05.2002 21:59 </t>
  </si>
  <si>
    <t> -0.0718 </t>
  </si>
  <si>
    <t>E </t>
  </si>
  <si>
    <t>?</t>
  </si>
  <si>
    <t> E.Blättler </t>
  </si>
  <si>
    <t> BBS 128 </t>
  </si>
  <si>
    <t>2453114.8520 </t>
  </si>
  <si>
    <t> 19.04.2004 08:26 </t>
  </si>
  <si>
    <t> 0.0240 </t>
  </si>
  <si>
    <t> S.Dvorak </t>
  </si>
  <si>
    <t>IBVS 5603 </t>
  </si>
  <si>
    <t>2453117.4099 </t>
  </si>
  <si>
    <t> 21.04.2004 21:50 </t>
  </si>
  <si>
    <t> -0.1281 </t>
  </si>
  <si>
    <t>o</t>
  </si>
  <si>
    <t> F.Agerer </t>
  </si>
  <si>
    <t>BAVM 173 </t>
  </si>
  <si>
    <t>2453265.5900 </t>
  </si>
  <si>
    <t> 17.09.2004 02:09 </t>
  </si>
  <si>
    <t> 0.0860 </t>
  </si>
  <si>
    <t>C </t>
  </si>
  <si>
    <t> T.Krajci </t>
  </si>
  <si>
    <t>IBVS 5690 </t>
  </si>
  <si>
    <t>2453266.6510 </t>
  </si>
  <si>
    <t> 18.09.2004 03:37 </t>
  </si>
  <si>
    <t> 0.0630 </t>
  </si>
  <si>
    <t>2453269.6381 </t>
  </si>
  <si>
    <t> 21.09.2004 03:18 </t>
  </si>
  <si>
    <t> 0.0691 </t>
  </si>
  <si>
    <t>2453499.8972 </t>
  </si>
  <si>
    <t> 09.05.2005 09:31 </t>
  </si>
  <si>
    <t> -0.0218 </t>
  </si>
  <si>
    <t> R.Nelson </t>
  </si>
  <si>
    <t>IBVS 5672 </t>
  </si>
  <si>
    <t>2453515.4604 </t>
  </si>
  <si>
    <t> 24.05.2005 23:02 </t>
  </si>
  <si>
    <t> 0.0944 </t>
  </si>
  <si>
    <t>-I</t>
  </si>
  <si>
    <t>BAVM 178 </t>
  </si>
  <si>
    <t>2453518.4479 </t>
  </si>
  <si>
    <t> 27.05.2005 22:44 </t>
  </si>
  <si>
    <t>21353</t>
  </si>
  <si>
    <t> -0.1701 </t>
  </si>
  <si>
    <t>2453847.4224 </t>
  </si>
  <si>
    <t> 21.04.2006 22:08 </t>
  </si>
  <si>
    <t>21959.5</t>
  </si>
  <si>
    <t> 0.0814 </t>
  </si>
  <si>
    <t>2454222.4375 </t>
  </si>
  <si>
    <t> 01.05.2007 22:30 </t>
  </si>
  <si>
    <t>22651.5</t>
  </si>
  <si>
    <t> 0.0325 </t>
  </si>
  <si>
    <t> U.Schmidt </t>
  </si>
  <si>
    <t>BAVM 186 </t>
  </si>
  <si>
    <t>2454297.4938 </t>
  </si>
  <si>
    <t> 15.07.2007 23:51 </t>
  </si>
  <si>
    <t>22790</t>
  </si>
  <si>
    <t> 0.0218 </t>
  </si>
  <si>
    <t> R.Diethelm </t>
  </si>
  <si>
    <t>IBVS 5837 </t>
  </si>
  <si>
    <t>2454937.5272 </t>
  </si>
  <si>
    <t> 16.04.2009 00:39 </t>
  </si>
  <si>
    <t>23971</t>
  </si>
  <si>
    <t> -0.0468 </t>
  </si>
  <si>
    <t>BAVM 209 </t>
  </si>
  <si>
    <t>2455312.7610 </t>
  </si>
  <si>
    <t> 26.04.2010 06:15 </t>
  </si>
  <si>
    <t>24663.5</t>
  </si>
  <si>
    <t> -0.1480 </t>
  </si>
  <si>
    <t>IBVS 5945 </t>
  </si>
  <si>
    <t>2455388.4487 </t>
  </si>
  <si>
    <t> 10.07.2010 22:46 </t>
  </si>
  <si>
    <t>24803</t>
  </si>
  <si>
    <t> -0.0693 </t>
  </si>
  <si>
    <t>BAVM 215 </t>
  </si>
  <si>
    <t>2455726.7976 </t>
  </si>
  <si>
    <t> 14.06.2011 07:08 </t>
  </si>
  <si>
    <t>25427</t>
  </si>
  <si>
    <t> 0.0716 </t>
  </si>
  <si>
    <t>IBVS 5992 </t>
  </si>
  <si>
    <t>2456001.6202 </t>
  </si>
  <si>
    <t> 15.03.2012 02:53 </t>
  </si>
  <si>
    <t>25934.5</t>
  </si>
  <si>
    <t> -0.1708 </t>
  </si>
  <si>
    <t>BAVM 228 </t>
  </si>
  <si>
    <t>2456006.5255 </t>
  </si>
  <si>
    <t> 20.03.2012 00:36 </t>
  </si>
  <si>
    <t>25943.5</t>
  </si>
  <si>
    <t> -0.1435 </t>
  </si>
  <si>
    <t>2456024.8529 </t>
  </si>
  <si>
    <t> 07.04.2012 08:28 </t>
  </si>
  <si>
    <t>25977.5</t>
  </si>
  <si>
    <t> -0.2441 </t>
  </si>
  <si>
    <t>IBVS 6050 </t>
  </si>
  <si>
    <t>2456055.5548 </t>
  </si>
  <si>
    <t> 08.05.2012 01:18 </t>
  </si>
  <si>
    <t>26034</t>
  </si>
  <si>
    <t> -0.1652 </t>
  </si>
  <si>
    <t>2456489.4190 </t>
  </si>
  <si>
    <t> 15.07.2013 22:03 </t>
  </si>
  <si>
    <t>26834.5</t>
  </si>
  <si>
    <t> -0.1720 </t>
  </si>
  <si>
    <t> H.Jungbluth </t>
  </si>
  <si>
    <t>BAVM 232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</si>
</sst>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6" formatCode="0.000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/>
    <xf numFmtId="172" fontId="0" fillId="0" borderId="0" xfId="0" applyNumberFormat="1" applyAlignment="1">
      <alignment horizontal="center"/>
    </xf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6" fontId="0" fillId="0" borderId="0" xfId="0" applyNumberFormat="1" applyAlignment="1"/>
    <xf numFmtId="0" fontId="0" fillId="0" borderId="0" xfId="0" applyNumberFormat="1" applyAlignment="1"/>
    <xf numFmtId="0" fontId="10" fillId="0" borderId="0" xfId="0" applyFont="1" applyAlignment="1"/>
    <xf numFmtId="0" fontId="11" fillId="0" borderId="0" xfId="0" applyFont="1" applyAlignment="1"/>
    <xf numFmtId="172" fontId="12" fillId="0" borderId="0" xfId="0" applyNumberFormat="1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72" fontId="11" fillId="0" borderId="0" xfId="0" applyNumberFormat="1" applyFont="1" applyAlignment="1"/>
    <xf numFmtId="0" fontId="12" fillId="0" borderId="0" xfId="0" applyFont="1" applyAlignment="1"/>
    <xf numFmtId="22" fontId="12" fillId="0" borderId="0" xfId="0" applyNumberFormat="1" applyFont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center" vertical="top"/>
    </xf>
    <xf numFmtId="172" fontId="5" fillId="0" borderId="0" xfId="0" applyNumberFormat="1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172" fontId="0" fillId="0" borderId="0" xfId="0" applyNumberFormat="1" applyAlignment="1">
      <alignment horizontal="left"/>
    </xf>
    <xf numFmtId="172" fontId="5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21" fillId="0" borderId="0" xfId="0" applyFont="1" applyAlignment="1"/>
    <xf numFmtId="172" fontId="12" fillId="0" borderId="0" xfId="0" applyNumberFormat="1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18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37" fillId="0" borderId="0" xfId="42" applyNumberFormat="1" applyFont="1" applyAlignment="1">
      <alignment horizontal="left" wrapText="1"/>
    </xf>
    <xf numFmtId="0" fontId="38" fillId="0" borderId="1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V0731 Her - O-C Diagr.</a:t>
            </a:r>
          </a:p>
        </c:rich>
      </c:tx>
      <c:layout>
        <c:manualLayout>
          <c:xMode val="edge"/>
          <c:yMode val="edge"/>
          <c:x val="0.37774374680959671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754977029096"/>
          <c:y val="8.860773185282933E-2"/>
          <c:w val="0.86064318529862172"/>
          <c:h val="0.724684664082068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Active!$H$21:$H$992</c:f>
              <c:numCache>
                <c:formatCode>0.0000</c:formatCode>
                <c:ptCount val="972"/>
                <c:pt idx="2">
                  <c:v>8.3579999991343357E-3</c:v>
                </c:pt>
                <c:pt idx="3">
                  <c:v>1.7348000001220498E-2</c:v>
                </c:pt>
                <c:pt idx="4">
                  <c:v>1.7343999999866355E-2</c:v>
                </c:pt>
                <c:pt idx="6">
                  <c:v>1.0559999995166436E-2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B-4E04-BE6C-B391CC92CE7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1.5E-3</c:v>
                  </c:pt>
                  <c:pt idx="4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7">
                    <c:v>3.5000000000000001E-3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2.3E-3</c:v>
                  </c:pt>
                  <c:pt idx="22">
                    <c:v>6.9999999999999999E-4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Active!$I$21:$I$992</c:f>
              <c:numCache>
                <c:formatCode>0.0000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B-4E04-BE6C-B391CC92CE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Active!$J$21:$J$992</c:f>
              <c:numCache>
                <c:formatCode>0.0000</c:formatCode>
                <c:ptCount val="972"/>
                <c:pt idx="8">
                  <c:v>1.5643999999156222E-2</c:v>
                </c:pt>
                <c:pt idx="9">
                  <c:v>1.5095999995537568E-2</c:v>
                </c:pt>
                <c:pt idx="15">
                  <c:v>1.3727999998081941E-2</c:v>
                </c:pt>
                <c:pt idx="16">
                  <c:v>1.6371999998227693E-2</c:v>
                </c:pt>
                <c:pt idx="17">
                  <c:v>1.7100000004575122E-2</c:v>
                </c:pt>
                <c:pt idx="18">
                  <c:v>6.3640000007580966E-3</c:v>
                </c:pt>
                <c:pt idx="19">
                  <c:v>1.485599999432452E-2</c:v>
                </c:pt>
                <c:pt idx="20">
                  <c:v>9.8479999942355789E-3</c:v>
                </c:pt>
                <c:pt idx="22">
                  <c:v>4.8880000031203963E-3</c:v>
                </c:pt>
                <c:pt idx="24">
                  <c:v>1.6839999952935614E-3</c:v>
                </c:pt>
                <c:pt idx="25">
                  <c:v>3.2920000012381934E-3</c:v>
                </c:pt>
                <c:pt idx="27">
                  <c:v>-4.328000002715271E-3</c:v>
                </c:pt>
                <c:pt idx="28">
                  <c:v>-1.0267999998177402E-2</c:v>
                </c:pt>
                <c:pt idx="29">
                  <c:v>-2.4824000000080559E-2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2B-4E04-BE6C-B391CC92CE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Active!$K$21:$K$992</c:f>
              <c:numCache>
                <c:formatCode>0.0000</c:formatCode>
                <c:ptCount val="972"/>
                <c:pt idx="1">
                  <c:v>1.724399999511661E-2</c:v>
                </c:pt>
                <c:pt idx="5">
                  <c:v>1.4291999992565252E-2</c:v>
                </c:pt>
                <c:pt idx="7">
                  <c:v>1.5559999999823049E-2</c:v>
                </c:pt>
                <c:pt idx="8">
                  <c:v>1.5643999999156222E-2</c:v>
                </c:pt>
                <c:pt idx="10">
                  <c:v>1.5983999997843057E-2</c:v>
                </c:pt>
                <c:pt idx="11">
                  <c:v>1.8415999991702847E-2</c:v>
                </c:pt>
                <c:pt idx="12">
                  <c:v>1.3395999994827434E-2</c:v>
                </c:pt>
                <c:pt idx="13">
                  <c:v>1.5639999997802079E-2</c:v>
                </c:pt>
                <c:pt idx="14">
                  <c:v>1.4419999999518041E-2</c:v>
                </c:pt>
                <c:pt idx="23">
                  <c:v>-9.6000000485219061E-4</c:v>
                </c:pt>
                <c:pt idx="26">
                  <c:v>-4.8883616327657364E-3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2B-4E04-BE6C-B391CC92CE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Active!$L$21:$L$992</c:f>
              <c:numCache>
                <c:formatCode>0.0000</c:formatCode>
                <c:ptCount val="972"/>
                <c:pt idx="14">
                  <c:v>1.4419999999518041E-2</c:v>
                </c:pt>
                <c:pt idx="26">
                  <c:v>-4.8883616327657364E-3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2B-4E04-BE6C-B391CC92CE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Active!$M$21:$M$992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2B-4E04-BE6C-B391CC92CE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  <c:pt idx="24">
                    <c:v>1.6000000000000001E-3</c:v>
                  </c:pt>
                  <c:pt idx="25">
                    <c:v>1.9E-3</c:v>
                  </c:pt>
                  <c:pt idx="26">
                    <c:v>2.9999999999999997E-4</c:v>
                  </c:pt>
                  <c:pt idx="27">
                    <c:v>1.4E-3</c:v>
                  </c:pt>
                  <c:pt idx="28">
                    <c:v>8.9999999999999998E-4</c:v>
                  </c:pt>
                  <c:pt idx="29">
                    <c:v>2.9999999999999997E-4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  <c:pt idx="24">
                    <c:v>1.6000000000000001E-3</c:v>
                  </c:pt>
                  <c:pt idx="25">
                    <c:v>1.9E-3</c:v>
                  </c:pt>
                  <c:pt idx="26">
                    <c:v>2.9999999999999997E-4</c:v>
                  </c:pt>
                  <c:pt idx="27">
                    <c:v>1.4E-3</c:v>
                  </c:pt>
                  <c:pt idx="28">
                    <c:v>8.9999999999999998E-4</c:v>
                  </c:pt>
                  <c:pt idx="2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Active!$N$21:$N$992</c:f>
              <c:numCache>
                <c:formatCode>0.0000</c:formatCode>
                <c:ptCount val="972"/>
                <c:pt idx="2">
                  <c:v>7.832275398798208E-2</c:v>
                </c:pt>
                <c:pt idx="3">
                  <c:v>7.8313821702707398E-2</c:v>
                </c:pt>
                <c:pt idx="4">
                  <c:v>7.831024878859752E-2</c:v>
                </c:pt>
                <c:pt idx="6">
                  <c:v>7.7074020506580881E-2</c:v>
                </c:pt>
                <c:pt idx="9">
                  <c:v>4.745098962160979E-2</c:v>
                </c:pt>
                <c:pt idx="11">
                  <c:v>4.4967814315246851E-2</c:v>
                </c:pt>
                <c:pt idx="12">
                  <c:v>4.4949949744697487E-2</c:v>
                </c:pt>
                <c:pt idx="13">
                  <c:v>4.4899928947159246E-2</c:v>
                </c:pt>
                <c:pt idx="14">
                  <c:v>4.1041181708494578E-2</c:v>
                </c:pt>
                <c:pt idx="15">
                  <c:v>4.0780358978473707E-2</c:v>
                </c:pt>
                <c:pt idx="16">
                  <c:v>4.0730338180935466E-2</c:v>
                </c:pt>
                <c:pt idx="17">
                  <c:v>3.5217331709398808E-2</c:v>
                </c:pt>
                <c:pt idx="18">
                  <c:v>2.8932575790129228E-2</c:v>
                </c:pt>
                <c:pt idx="19">
                  <c:v>2.7674910023453347E-2</c:v>
                </c:pt>
                <c:pt idx="20">
                  <c:v>1.6949021865609509E-2</c:v>
                </c:pt>
                <c:pt idx="21">
                  <c:v>1.0660693032230051E-2</c:v>
                </c:pt>
                <c:pt idx="22">
                  <c:v>9.3923085232245351E-3</c:v>
                </c:pt>
                <c:pt idx="23">
                  <c:v>3.722093830853368E-3</c:v>
                </c:pt>
                <c:pt idx="24">
                  <c:v>-8.8339245677510059E-4</c:v>
                </c:pt>
                <c:pt idx="25">
                  <c:v>-9.6556948130221976E-4</c:v>
                </c:pt>
                <c:pt idx="26">
                  <c:v>-1.272840094751454E-3</c:v>
                </c:pt>
                <c:pt idx="27">
                  <c:v>-1.7873397265734114E-3</c:v>
                </c:pt>
                <c:pt idx="28">
                  <c:v>-9.0582199401683938E-3</c:v>
                </c:pt>
                <c:pt idx="29">
                  <c:v>-2.5364999937636523E-2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2B-4E04-BE6C-B391CC92CE7C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A02B-4E04-BE6C-B391CC92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84552"/>
        <c:axId val="1"/>
      </c:scatterChart>
      <c:valAx>
        <c:axId val="6874845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4241960183771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39509954058193E-2"/>
              <c:y val="0.35443104422073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8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39509954058192"/>
          <c:y val="0.92721651882122325"/>
          <c:w val="0.66003062787136291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V0731 Her - O-C Diagr</a:t>
            </a:r>
          </a:p>
        </c:rich>
      </c:tx>
      <c:layout>
        <c:manualLayout>
          <c:xMode val="edge"/>
          <c:yMode val="edge"/>
          <c:x val="0.37716663857384797"/>
          <c:y val="1.5772870662460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3379896818702"/>
          <c:y val="8.8328075709779186E-2"/>
          <c:w val="0.86085755455841839"/>
          <c:h val="0.725552050473186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Active!$H$21:$H$992</c:f>
              <c:numCache>
                <c:formatCode>0.0000</c:formatCode>
                <c:ptCount val="972"/>
                <c:pt idx="2">
                  <c:v>8.3579999991343357E-3</c:v>
                </c:pt>
                <c:pt idx="3">
                  <c:v>1.7348000001220498E-2</c:v>
                </c:pt>
                <c:pt idx="4">
                  <c:v>1.7343999999866355E-2</c:v>
                </c:pt>
                <c:pt idx="6">
                  <c:v>1.0559999995166436E-2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F-4BC4-BB59-B8085A32294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1.5E-3</c:v>
                  </c:pt>
                  <c:pt idx="4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7">
                    <c:v>3.5000000000000001E-3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2.3E-3</c:v>
                  </c:pt>
                  <c:pt idx="22">
                    <c:v>6.9999999999999999E-4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Active!$I$21:$I$992</c:f>
              <c:numCache>
                <c:formatCode>0.0000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1F-4BC4-BB59-B8085A3229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8">
                    <c:v>3.5000000000000001E-3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Active!$J$21:$J$992</c:f>
              <c:numCache>
                <c:formatCode>0.0000</c:formatCode>
                <c:ptCount val="972"/>
                <c:pt idx="8">
                  <c:v>1.5643999999156222E-2</c:v>
                </c:pt>
                <c:pt idx="9">
                  <c:v>1.5095999995537568E-2</c:v>
                </c:pt>
                <c:pt idx="15">
                  <c:v>1.3727999998081941E-2</c:v>
                </c:pt>
                <c:pt idx="16">
                  <c:v>1.6371999998227693E-2</c:v>
                </c:pt>
                <c:pt idx="17">
                  <c:v>1.7100000004575122E-2</c:v>
                </c:pt>
                <c:pt idx="18">
                  <c:v>6.3640000007580966E-3</c:v>
                </c:pt>
                <c:pt idx="19">
                  <c:v>1.485599999432452E-2</c:v>
                </c:pt>
                <c:pt idx="20">
                  <c:v>9.8479999942355789E-3</c:v>
                </c:pt>
                <c:pt idx="22">
                  <c:v>4.8880000031203963E-3</c:v>
                </c:pt>
                <c:pt idx="24">
                  <c:v>1.6839999952935614E-3</c:v>
                </c:pt>
                <c:pt idx="25">
                  <c:v>3.2920000012381934E-3</c:v>
                </c:pt>
                <c:pt idx="27">
                  <c:v>-4.328000002715271E-3</c:v>
                </c:pt>
                <c:pt idx="28">
                  <c:v>-1.0267999998177402E-2</c:v>
                </c:pt>
                <c:pt idx="29">
                  <c:v>-2.4824000000080559E-2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1F-4BC4-BB59-B8085A3229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Active!$K$21:$K$992</c:f>
              <c:numCache>
                <c:formatCode>0.0000</c:formatCode>
                <c:ptCount val="972"/>
                <c:pt idx="1">
                  <c:v>1.724399999511661E-2</c:v>
                </c:pt>
                <c:pt idx="5">
                  <c:v>1.4291999992565252E-2</c:v>
                </c:pt>
                <c:pt idx="7">
                  <c:v>1.5559999999823049E-2</c:v>
                </c:pt>
                <c:pt idx="8">
                  <c:v>1.5643999999156222E-2</c:v>
                </c:pt>
                <c:pt idx="10">
                  <c:v>1.5983999997843057E-2</c:v>
                </c:pt>
                <c:pt idx="11">
                  <c:v>1.8415999991702847E-2</c:v>
                </c:pt>
                <c:pt idx="12">
                  <c:v>1.3395999994827434E-2</c:v>
                </c:pt>
                <c:pt idx="13">
                  <c:v>1.5639999997802079E-2</c:v>
                </c:pt>
                <c:pt idx="14">
                  <c:v>1.4419999999518041E-2</c:v>
                </c:pt>
                <c:pt idx="23">
                  <c:v>-9.6000000485219061E-4</c:v>
                </c:pt>
                <c:pt idx="26">
                  <c:v>-4.8883616327657364E-3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1F-4BC4-BB59-B8085A3229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Active!$L$21:$L$992</c:f>
              <c:numCache>
                <c:formatCode>0.0000</c:formatCode>
                <c:ptCount val="972"/>
                <c:pt idx="14">
                  <c:v>1.4419999999518041E-2</c:v>
                </c:pt>
                <c:pt idx="26">
                  <c:v>-4.8883616327657364E-3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1F-4BC4-BB59-B8085A3229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Active!$M$21:$M$992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1F-4BC4-BB59-B8085A3229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43614</c:v>
                </c:pt>
                <c:pt idx="2">
                  <c:v>43760.5</c:v>
                </c:pt>
                <c:pt idx="3">
                  <c:v>43763</c:v>
                </c:pt>
                <c:pt idx="4">
                  <c:v>43764</c:v>
                </c:pt>
                <c:pt idx="5">
                  <c:v>43927</c:v>
                </c:pt>
                <c:pt idx="6">
                  <c:v>44110</c:v>
                </c:pt>
                <c:pt idx="7">
                  <c:v>49160</c:v>
                </c:pt>
                <c:pt idx="8">
                  <c:v>52389</c:v>
                </c:pt>
                <c:pt idx="9">
                  <c:v>52401</c:v>
                </c:pt>
                <c:pt idx="10">
                  <c:v>52429</c:v>
                </c:pt>
                <c:pt idx="11">
                  <c:v>53096</c:v>
                </c:pt>
                <c:pt idx="12">
                  <c:v>53101</c:v>
                </c:pt>
                <c:pt idx="13">
                  <c:v>53115</c:v>
                </c:pt>
                <c:pt idx="14">
                  <c:v>54195</c:v>
                </c:pt>
                <c:pt idx="15">
                  <c:v>54268</c:v>
                </c:pt>
                <c:pt idx="16">
                  <c:v>54282</c:v>
                </c:pt>
                <c:pt idx="17">
                  <c:v>55825</c:v>
                </c:pt>
                <c:pt idx="18">
                  <c:v>57584</c:v>
                </c:pt>
                <c:pt idx="19">
                  <c:v>57936</c:v>
                </c:pt>
                <c:pt idx="20">
                  <c:v>60938</c:v>
                </c:pt>
                <c:pt idx="21">
                  <c:v>62698</c:v>
                </c:pt>
                <c:pt idx="22">
                  <c:v>63053</c:v>
                </c:pt>
                <c:pt idx="23">
                  <c:v>64640</c:v>
                </c:pt>
                <c:pt idx="24">
                  <c:v>65929</c:v>
                </c:pt>
                <c:pt idx="25">
                  <c:v>65952</c:v>
                </c:pt>
                <c:pt idx="26">
                  <c:v>66038</c:v>
                </c:pt>
                <c:pt idx="27">
                  <c:v>66182</c:v>
                </c:pt>
                <c:pt idx="28">
                  <c:v>68217</c:v>
                </c:pt>
                <c:pt idx="29">
                  <c:v>72781</c:v>
                </c:pt>
              </c:numCache>
            </c:numRef>
          </c:xVal>
          <c:yVal>
            <c:numRef>
              <c:f>Active!$N$21:$N$992</c:f>
              <c:numCache>
                <c:formatCode>0.0000</c:formatCode>
                <c:ptCount val="972"/>
                <c:pt idx="2">
                  <c:v>7.832275398798208E-2</c:v>
                </c:pt>
                <c:pt idx="3">
                  <c:v>7.8313821702707398E-2</c:v>
                </c:pt>
                <c:pt idx="4">
                  <c:v>7.831024878859752E-2</c:v>
                </c:pt>
                <c:pt idx="6">
                  <c:v>7.7074020506580881E-2</c:v>
                </c:pt>
                <c:pt idx="9">
                  <c:v>4.745098962160979E-2</c:v>
                </c:pt>
                <c:pt idx="11">
                  <c:v>4.4967814315246851E-2</c:v>
                </c:pt>
                <c:pt idx="12">
                  <c:v>4.4949949744697487E-2</c:v>
                </c:pt>
                <c:pt idx="13">
                  <c:v>4.4899928947159246E-2</c:v>
                </c:pt>
                <c:pt idx="14">
                  <c:v>4.1041181708494578E-2</c:v>
                </c:pt>
                <c:pt idx="15">
                  <c:v>4.0780358978473707E-2</c:v>
                </c:pt>
                <c:pt idx="16">
                  <c:v>4.0730338180935466E-2</c:v>
                </c:pt>
                <c:pt idx="17">
                  <c:v>3.5217331709398808E-2</c:v>
                </c:pt>
                <c:pt idx="18">
                  <c:v>2.8932575790129228E-2</c:v>
                </c:pt>
                <c:pt idx="19">
                  <c:v>2.7674910023453347E-2</c:v>
                </c:pt>
                <c:pt idx="20">
                  <c:v>1.6949021865609509E-2</c:v>
                </c:pt>
                <c:pt idx="21">
                  <c:v>1.0660693032230051E-2</c:v>
                </c:pt>
                <c:pt idx="22">
                  <c:v>9.3923085232245351E-3</c:v>
                </c:pt>
                <c:pt idx="23">
                  <c:v>3.722093830853368E-3</c:v>
                </c:pt>
                <c:pt idx="24">
                  <c:v>-8.8339245677510059E-4</c:v>
                </c:pt>
                <c:pt idx="25">
                  <c:v>-9.6556948130221976E-4</c:v>
                </c:pt>
                <c:pt idx="26">
                  <c:v>-1.272840094751454E-3</c:v>
                </c:pt>
                <c:pt idx="27">
                  <c:v>-1.7873397265734114E-3</c:v>
                </c:pt>
                <c:pt idx="28">
                  <c:v>-9.0582199401683938E-3</c:v>
                </c:pt>
                <c:pt idx="29">
                  <c:v>-2.5364999937636523E-2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1F-4BC4-BB59-B8085A32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368016"/>
        <c:axId val="1"/>
      </c:scatterChart>
      <c:valAx>
        <c:axId val="6973680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06727828746176E-2"/>
              <c:y val="0.3564668769716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36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11363143827205"/>
          <c:y val="0.9274447949526814"/>
          <c:w val="0.54893046626052477"/>
          <c:h val="6.30914826498423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Her - O-C Diagr.</a:t>
            </a:r>
          </a:p>
        </c:rich>
      </c:tx>
      <c:layout>
        <c:manualLayout>
          <c:xMode val="edge"/>
          <c:yMode val="edge"/>
          <c:x val="0.36526008112622282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3645371193128"/>
          <c:y val="0.12990955719758604"/>
          <c:w val="0.8522734028394845"/>
          <c:h val="0.69184392088946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(old)'!$H$21:$H$992</c:f>
              <c:numCache>
                <c:formatCode>0.0000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2-40E2-BCAB-CB37D9209D4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(old)'!$D$22:$D$43</c:f>
                <c:numCache>
                  <c:formatCode>General</c:formatCode>
                  <c:ptCount val="22"/>
                  <c:pt idx="0">
                    <c:v>1.5E-3</c:v>
                  </c:pt>
                  <c:pt idx="4">
                    <c:v>8.9999999999999998E-4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6.9999999999999999E-4</c:v>
                  </c:pt>
                  <c:pt idx="13">
                    <c:v>1E-4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(old)'!$I$21:$I$992</c:f>
              <c:numCache>
                <c:formatCode>0.0000</c:formatCode>
                <c:ptCount val="972"/>
                <c:pt idx="2">
                  <c:v>1.3067399995634332E-3</c:v>
                </c:pt>
                <c:pt idx="3">
                  <c:v>1.3106499973218888E-3</c:v>
                </c:pt>
                <c:pt idx="4">
                  <c:v>-5.6487394998839591E-2</c:v>
                </c:pt>
                <c:pt idx="6">
                  <c:v>-6.15563500468852E-3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2-40E2-BCAB-CB37D9209D4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6.9999999999999999E-4</c:v>
                  </c:pt>
                  <c:pt idx="14">
                    <c:v>1E-4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6.9999999999999999E-4</c:v>
                  </c:pt>
                  <c:pt idx="14">
                    <c:v>1E-4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(old)'!$J$21:$J$992</c:f>
              <c:numCache>
                <c:formatCode>0.0000</c:formatCode>
                <c:ptCount val="972"/>
                <c:pt idx="1">
                  <c:v>-5.9418085002107546E-2</c:v>
                </c:pt>
                <c:pt idx="5">
                  <c:v>4.962844992405735E-3</c:v>
                </c:pt>
                <c:pt idx="8">
                  <c:v>0.10457727999892086</c:v>
                </c:pt>
                <c:pt idx="9">
                  <c:v>-4.7503170004347339E-2</c:v>
                </c:pt>
                <c:pt idx="15">
                  <c:v>-9.3131274996267166E-2</c:v>
                </c:pt>
                <c:pt idx="16">
                  <c:v>-8.6609770005452447E-2</c:v>
                </c:pt>
                <c:pt idx="17">
                  <c:v>-0.10373640000034356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D2-40E2-BCAB-CB37D9209D4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(old)'!$K$21:$K$992</c:f>
              <c:numCache>
                <c:formatCode>0.0000</c:formatCode>
                <c:ptCount val="972"/>
                <c:pt idx="7">
                  <c:v>3.8115799980005249E-3</c:v>
                </c:pt>
                <c:pt idx="10">
                  <c:v>-3.8860159998876043E-2</c:v>
                </c:pt>
                <c:pt idx="11">
                  <c:v>-0.103333785009454</c:v>
                </c:pt>
                <c:pt idx="12">
                  <c:v>-0.12632596500043292</c:v>
                </c:pt>
                <c:pt idx="13">
                  <c:v>-0.1202044600067893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2-40E2-BCAB-CB37D9209D4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(old)'!$L$21:$L$992</c:f>
              <c:numCache>
                <c:formatCode>0.0000</c:formatCode>
                <c:ptCount val="972"/>
                <c:pt idx="14">
                  <c:v>6.1555334999866318E-2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D2-40E2-BCAB-CB37D9209D4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(old)'!$M$21:$M$992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D2-40E2-BCAB-CB37D9209D4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(old)'!$N$21:$N$992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D2-40E2-BCAB-CB37D9209D4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17156.5</c:v>
                </c:pt>
                <c:pt idx="2">
                  <c:v>17214</c:v>
                </c:pt>
                <c:pt idx="3">
                  <c:v>17215</c:v>
                </c:pt>
                <c:pt idx="4">
                  <c:v>17215.5</c:v>
                </c:pt>
                <c:pt idx="5">
                  <c:v>17279.5</c:v>
                </c:pt>
                <c:pt idx="6">
                  <c:v>17351.5</c:v>
                </c:pt>
                <c:pt idx="7">
                  <c:v>19338</c:v>
                </c:pt>
                <c:pt idx="8">
                  <c:v>20608</c:v>
                </c:pt>
                <c:pt idx="9">
                  <c:v>20613</c:v>
                </c:pt>
                <c:pt idx="10">
                  <c:v>20624</c:v>
                </c:pt>
                <c:pt idx="11">
                  <c:v>20886.5</c:v>
                </c:pt>
                <c:pt idx="12">
                  <c:v>20888.5</c:v>
                </c:pt>
                <c:pt idx="13">
                  <c:v>20894</c:v>
                </c:pt>
                <c:pt idx="14">
                  <c:v>21318.5</c:v>
                </c:pt>
                <c:pt idx="15">
                  <c:v>21347.5</c:v>
                </c:pt>
                <c:pt idx="16">
                  <c:v>21353</c:v>
                </c:pt>
                <c:pt idx="17">
                  <c:v>21960</c:v>
                </c:pt>
              </c:numCache>
            </c:numRef>
          </c:xVal>
          <c:yVal>
            <c:numRef>
              <c:f>'A (old)'!$O$21:$O$992</c:f>
              <c:numCache>
                <c:formatCode>0.0000</c:formatCode>
                <c:ptCount val="972"/>
                <c:pt idx="0">
                  <c:v>2.5281185712279677E-2</c:v>
                </c:pt>
                <c:pt idx="1">
                  <c:v>-3.0871342319143347E-2</c:v>
                </c:pt>
                <c:pt idx="2">
                  <c:v>-3.1059537484929303E-2</c:v>
                </c:pt>
                <c:pt idx="3">
                  <c:v>-3.1062810444334274E-2</c:v>
                </c:pt>
                <c:pt idx="4">
                  <c:v>-3.1064446924036766E-2</c:v>
                </c:pt>
                <c:pt idx="5">
                  <c:v>-3.1273916325955047E-2</c:v>
                </c:pt>
                <c:pt idx="6">
                  <c:v>-3.150956940311312E-2</c:v>
                </c:pt>
                <c:pt idx="7">
                  <c:v>-3.8011303261092422E-2</c:v>
                </c:pt>
                <c:pt idx="8">
                  <c:v>-4.2167961705408402E-2</c:v>
                </c:pt>
                <c:pt idx="9">
                  <c:v>-4.218432650243327E-2</c:v>
                </c:pt>
                <c:pt idx="10">
                  <c:v>-4.2220329055887976E-2</c:v>
                </c:pt>
                <c:pt idx="11">
                  <c:v>-4.3079480899693448E-2</c:v>
                </c:pt>
                <c:pt idx="12">
                  <c:v>-4.308602681850339E-2</c:v>
                </c:pt>
                <c:pt idx="13">
                  <c:v>-4.3104028095230743E-2</c:v>
                </c:pt>
                <c:pt idx="14">
                  <c:v>-4.4493399362641878E-2</c:v>
                </c:pt>
                <c:pt idx="15">
                  <c:v>-4.4588315185386099E-2</c:v>
                </c:pt>
                <c:pt idx="16">
                  <c:v>-4.4606316462113452E-2</c:v>
                </c:pt>
                <c:pt idx="17">
                  <c:v>-4.6593002820932192E-2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D2-40E2-BCAB-CB37D9209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98336"/>
        <c:axId val="1"/>
      </c:scatterChart>
      <c:valAx>
        <c:axId val="5081983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5748372362539"/>
              <c:y val="0.879155347273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83686434966021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19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98718342025429"/>
          <c:y val="0.93051486388974791"/>
          <c:w val="0.95454630671166096"/>
          <c:h val="0.99093782461482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Her - O-C Diagr.</a:t>
            </a:r>
          </a:p>
        </c:rich>
      </c:tx>
      <c:layout>
        <c:manualLayout>
          <c:xMode val="edge"/>
          <c:yMode val="edge"/>
          <c:x val="0.37269970854870133"/>
          <c:y val="1.607717041800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6204359336327"/>
          <c:y val="9.0032154340836015E-2"/>
          <c:w val="0.86043009222681133"/>
          <c:h val="0.7202572347266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B!$H$21:$H$994</c:f>
              <c:numCache>
                <c:formatCode>0.0000</c:formatCode>
                <c:ptCount val="974"/>
                <c:pt idx="0">
                  <c:v>0.99995800000033341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2-40FA-B2A4-9B6297CA9FF0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B!$D$22:$D$45</c:f>
                <c:numCache>
                  <c:formatCode>General</c:formatCode>
                  <c:ptCount val="24"/>
                  <c:pt idx="0">
                    <c:v>1.5E-3</c:v>
                  </c:pt>
                  <c:pt idx="4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1.0001</c:v>
                  </c:pt>
                  <c:pt idx="14">
                    <c:v>2.0001000000000002</c:v>
                  </c:pt>
                  <c:pt idx="15">
                    <c:v>3.0001000000000002</c:v>
                  </c:pt>
                  <c:pt idx="16">
                    <c:v>4.0000999999999998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B!$I$21:$I$994</c:f>
              <c:numCache>
                <c:formatCode>0.0000</c:formatCode>
                <c:ptCount val="974"/>
                <c:pt idx="2">
                  <c:v>6.3870499994663987E-2</c:v>
                </c:pt>
                <c:pt idx="3">
                  <c:v>0.10589149999577785</c:v>
                </c:pt>
                <c:pt idx="4">
                  <c:v>6.9102000001294073E-2</c:v>
                </c:pt>
                <c:pt idx="6">
                  <c:v>8.399949999875389E-2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2-40FA-B2A4-9B6297CA9FF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1.0001</c:v>
                  </c:pt>
                  <c:pt idx="15">
                    <c:v>2.0001000000000002</c:v>
                  </c:pt>
                  <c:pt idx="16">
                    <c:v>3.0001000000000002</c:v>
                  </c:pt>
                  <c:pt idx="17">
                    <c:v>4.0000999999999998</c:v>
                  </c:pt>
                </c:numCache>
              </c:numRef>
            </c:plus>
            <c:minus>
              <c:numRef>
                <c:f>B!$D$21:$D$45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1.0001</c:v>
                  </c:pt>
                  <c:pt idx="15">
                    <c:v>2.0001000000000002</c:v>
                  </c:pt>
                  <c:pt idx="16">
                    <c:v>3.0001000000000002</c:v>
                  </c:pt>
                  <c:pt idx="17">
                    <c:v>4.0000999999999998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B!$J$21:$J$994</c:f>
              <c:numCache>
                <c:formatCode>0.0000</c:formatCode>
                <c:ptCount val="974"/>
                <c:pt idx="1">
                  <c:v>8.705799999734154E-2</c:v>
                </c:pt>
                <c:pt idx="5">
                  <c:v>6.9761499995365739E-2</c:v>
                </c:pt>
                <c:pt idx="8">
                  <c:v>2.9139999998733401E-2</c:v>
                </c:pt>
                <c:pt idx="9">
                  <c:v>8.714499999769032E-2</c:v>
                </c:pt>
                <c:pt idx="15">
                  <c:v>-0.34561799999937648</c:v>
                </c:pt>
                <c:pt idx="16">
                  <c:v>-0.35799200000474229</c:v>
                </c:pt>
                <c:pt idx="17">
                  <c:v>-0.36967399999412009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2-40FA-B2A4-9B6297CA9FF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B!$K$21:$K$994</c:f>
              <c:numCache>
                <c:formatCode>0.0000</c:formatCode>
                <c:ptCount val="974"/>
                <c:pt idx="10">
                  <c:v>-0.19199250000383472</c:v>
                </c:pt>
                <c:pt idx="11">
                  <c:v>-0.22651800000312505</c:v>
                </c:pt>
                <c:pt idx="12">
                  <c:v>-0.16547600000194507</c:v>
                </c:pt>
                <c:pt idx="13">
                  <c:v>-0.17825000000448199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2-40FA-B2A4-9B6297CA9FF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B!$L$21:$L$994</c:f>
              <c:numCache>
                <c:formatCode>0.0000</c:formatCode>
                <c:ptCount val="974"/>
                <c:pt idx="14">
                  <c:v>-0.15947950000554556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2-40FA-B2A4-9B6297CA9FF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B!$M$21:$M$994</c:f>
              <c:numCache>
                <c:formatCode>0.0000</c:formatCode>
                <c:ptCount val="974"/>
                <c:pt idx="7">
                  <c:v>6.4422999996168073E-2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F2-40FA-B2A4-9B6297CA9FF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B!$F$21:$F$994</c:f>
              <c:numCache>
                <c:formatCode>General</c:formatCode>
                <c:ptCount val="974"/>
                <c:pt idx="0">
                  <c:v>-2</c:v>
                </c:pt>
                <c:pt idx="1">
                  <c:v>18598</c:v>
                </c:pt>
                <c:pt idx="2">
                  <c:v>18660.5</c:v>
                </c:pt>
                <c:pt idx="3">
                  <c:v>18661.5</c:v>
                </c:pt>
                <c:pt idx="4">
                  <c:v>18662</c:v>
                </c:pt>
                <c:pt idx="5">
                  <c:v>18731.5</c:v>
                </c:pt>
                <c:pt idx="6">
                  <c:v>18809.5</c:v>
                </c:pt>
                <c:pt idx="7">
                  <c:v>20963</c:v>
                </c:pt>
                <c:pt idx="8">
                  <c:v>22340</c:v>
                </c:pt>
                <c:pt idx="9">
                  <c:v>22345</c:v>
                </c:pt>
                <c:pt idx="10">
                  <c:v>22357.5</c:v>
                </c:pt>
                <c:pt idx="11">
                  <c:v>22642</c:v>
                </c:pt>
                <c:pt idx="12">
                  <c:v>22644</c:v>
                </c:pt>
                <c:pt idx="13">
                  <c:v>22650</c:v>
                </c:pt>
                <c:pt idx="14">
                  <c:v>23110.5</c:v>
                </c:pt>
                <c:pt idx="15">
                  <c:v>23142</c:v>
                </c:pt>
                <c:pt idx="16">
                  <c:v>23148</c:v>
                </c:pt>
                <c:pt idx="17">
                  <c:v>23806</c:v>
                </c:pt>
              </c:numCache>
            </c:numRef>
          </c:xVal>
          <c:yVal>
            <c:numRef>
              <c:f>B!$N$21:$N$994</c:f>
              <c:numCache>
                <c:formatCode>0.0000</c:formatCode>
                <c:ptCount val="974"/>
                <c:pt idx="0">
                  <c:v>1.4324365065781286</c:v>
                </c:pt>
                <c:pt idx="1">
                  <c:v>0.1101183798409564</c:v>
                </c:pt>
                <c:pt idx="2">
                  <c:v>0.10567510656562984</c:v>
                </c:pt>
                <c:pt idx="3">
                  <c:v>0.10560401419322463</c:v>
                </c:pt>
                <c:pt idx="4">
                  <c:v>0.10556846800702213</c:v>
                </c:pt>
                <c:pt idx="5">
                  <c:v>0.10062754812485908</c:v>
                </c:pt>
                <c:pt idx="6">
                  <c:v>9.5082343077251608E-2</c:v>
                </c:pt>
                <c:pt idx="7">
                  <c:v>-5.801508089739893E-2</c:v>
                </c:pt>
                <c:pt idx="8">
                  <c:v>-0.15590927769939289</c:v>
                </c:pt>
                <c:pt idx="9">
                  <c:v>-0.15626473956141895</c:v>
                </c:pt>
                <c:pt idx="10">
                  <c:v>-0.15715339421648444</c:v>
                </c:pt>
                <c:pt idx="11">
                  <c:v>-0.17737917416577065</c:v>
                </c:pt>
                <c:pt idx="12">
                  <c:v>-0.17752135891058107</c:v>
                </c:pt>
                <c:pt idx="13">
                  <c:v>-0.17794791314501235</c:v>
                </c:pt>
                <c:pt idx="14">
                  <c:v>-0.21068595063761819</c:v>
                </c:pt>
                <c:pt idx="15">
                  <c:v>-0.21292536036838272</c:v>
                </c:pt>
                <c:pt idx="16">
                  <c:v>-0.21335191460281422</c:v>
                </c:pt>
                <c:pt idx="17">
                  <c:v>-0.26013069564545166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F2-40FA-B2A4-9B6297CA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365136"/>
        <c:axId val="1"/>
      </c:scatterChart>
      <c:valAx>
        <c:axId val="6973651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523002109395"/>
              <c:y val="0.87138263665594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2000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72392638036811E-2"/>
              <c:y val="0.35369774919614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36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78543709643656"/>
          <c:y val="0.92604501607717038"/>
          <c:w val="0.69785324380464719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Her - O-C Diagr.</a:t>
            </a:r>
          </a:p>
        </c:rich>
      </c:tx>
      <c:layout>
        <c:manualLayout>
          <c:xMode val="edge"/>
          <c:yMode val="edge"/>
          <c:x val="0.35387360910872057"/>
          <c:y val="1.592356687898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3954256260192"/>
          <c:y val="8.9171974522292988E-2"/>
          <c:w val="0.83978945431944452"/>
          <c:h val="0.722929936305732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'C'!$H$21:$H$994</c:f>
              <c:numCache>
                <c:formatCode>0.0000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FE-4629-911E-6EFE1C81FA3C}"/>
            </c:ext>
          </c:extLst>
        </c:ser>
        <c:ser>
          <c:idx val="1"/>
          <c:order val="1"/>
          <c:tx>
            <c:strRef>
              <c:f>'C'!$I$20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'C'!$D$22:$D$45</c:f>
                <c:numCache>
                  <c:formatCode>General</c:formatCode>
                  <c:ptCount val="24"/>
                  <c:pt idx="0">
                    <c:v>1.5E-3</c:v>
                  </c:pt>
                  <c:pt idx="4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'C'!$I$21:$I$994</c:f>
              <c:numCache>
                <c:formatCode>0.0000</c:formatCode>
                <c:ptCount val="974"/>
                <c:pt idx="2">
                  <c:v>-0.10020150000491412</c:v>
                </c:pt>
                <c:pt idx="3">
                  <c:v>-5.8162499997706618E-2</c:v>
                </c:pt>
                <c:pt idx="4">
                  <c:v>-9.4943000003695488E-2</c:v>
                </c:pt>
                <c:pt idx="6">
                  <c:v>-7.7390500002366025E-2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FE-4629-911E-6EFE1C81FA3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'C'!$J$21:$J$994</c:f>
              <c:numCache>
                <c:formatCode>0.0000</c:formatCode>
                <c:ptCount val="974"/>
                <c:pt idx="1">
                  <c:v>-7.8138999997463543E-2</c:v>
                </c:pt>
                <c:pt idx="5">
                  <c:v>-9.3032500000845175E-2</c:v>
                </c:pt>
                <c:pt idx="8">
                  <c:v>-6.8701000003784429E-2</c:v>
                </c:pt>
                <c:pt idx="9">
                  <c:v>-1.0606000003463123E-2</c:v>
                </c:pt>
                <c:pt idx="14">
                  <c:v>-0.2434514999986277</c:v>
                </c:pt>
                <c:pt idx="15">
                  <c:v>-0.17904249999992317</c:v>
                </c:pt>
                <c:pt idx="16">
                  <c:v>-0.19130849999783095</c:v>
                </c:pt>
                <c:pt idx="17">
                  <c:v>-0.19114649999391986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FE-4629-911E-6EFE1C81FA3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'C'!$K$21:$K$994</c:f>
              <c:numCache>
                <c:formatCode>0.0000</c:formatCode>
                <c:ptCount val="974"/>
                <c:pt idx="10">
                  <c:v>-0.28951850000157719</c:v>
                </c:pt>
                <c:pt idx="11">
                  <c:v>-0.31892300000617979</c:v>
                </c:pt>
                <c:pt idx="12">
                  <c:v>-0.25784500000008848</c:v>
                </c:pt>
                <c:pt idx="13">
                  <c:v>-0.27051100000244332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FE-4629-911E-6EFE1C81FA3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FE-4629-911E-6EFE1C81FA3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'C'!$M$21:$M$994</c:f>
              <c:numCache>
                <c:formatCode>0.0000</c:formatCode>
                <c:ptCount val="974"/>
                <c:pt idx="7">
                  <c:v>-5.8204000000841916E-2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FE-4629-911E-6EFE1C81FA3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18599</c:v>
                </c:pt>
                <c:pt idx="2">
                  <c:v>18661.5</c:v>
                </c:pt>
                <c:pt idx="3">
                  <c:v>18662.5</c:v>
                </c:pt>
                <c:pt idx="4">
                  <c:v>18663</c:v>
                </c:pt>
                <c:pt idx="5">
                  <c:v>18732.5</c:v>
                </c:pt>
                <c:pt idx="6">
                  <c:v>18810.5</c:v>
                </c:pt>
                <c:pt idx="7">
                  <c:v>20964</c:v>
                </c:pt>
                <c:pt idx="8">
                  <c:v>22341</c:v>
                </c:pt>
                <c:pt idx="9">
                  <c:v>22346</c:v>
                </c:pt>
                <c:pt idx="10">
                  <c:v>22358.5</c:v>
                </c:pt>
                <c:pt idx="11">
                  <c:v>22643</c:v>
                </c:pt>
                <c:pt idx="12">
                  <c:v>22645</c:v>
                </c:pt>
                <c:pt idx="13">
                  <c:v>22651</c:v>
                </c:pt>
                <c:pt idx="14">
                  <c:v>23111.5</c:v>
                </c:pt>
                <c:pt idx="15">
                  <c:v>23142.5</c:v>
                </c:pt>
                <c:pt idx="16">
                  <c:v>23148.5</c:v>
                </c:pt>
                <c:pt idx="17">
                  <c:v>23806.5</c:v>
                </c:pt>
              </c:numCache>
            </c:numRef>
          </c:xVal>
          <c:yVal>
            <c:numRef>
              <c:f>'C'!$N$21:$N$994</c:f>
              <c:numCache>
                <c:formatCode>0.0000</c:formatCode>
                <c:ptCount val="974"/>
                <c:pt idx="1">
                  <c:v>-7.4553913525999882E-2</c:v>
                </c:pt>
                <c:pt idx="2">
                  <c:v>-7.6374323763112428E-2</c:v>
                </c:pt>
                <c:pt idx="3">
                  <c:v>-7.6403450326906153E-2</c:v>
                </c:pt>
                <c:pt idx="4">
                  <c:v>-7.6418013608803126E-2</c:v>
                </c:pt>
                <c:pt idx="5">
                  <c:v>-7.8442309792472187E-2</c:v>
                </c:pt>
                <c:pt idx="6">
                  <c:v>-8.0714181768388682E-2</c:v>
                </c:pt>
                <c:pt idx="7">
                  <c:v>-0.14343823689833773</c:v>
                </c:pt>
                <c:pt idx="8">
                  <c:v>-0.18354551524240076</c:v>
                </c:pt>
                <c:pt idx="9">
                  <c:v>-0.18369114806136982</c:v>
                </c:pt>
                <c:pt idx="10">
                  <c:v>-0.18405523010879227</c:v>
                </c:pt>
                <c:pt idx="11">
                  <c:v>-0.1923417375081285</c:v>
                </c:pt>
                <c:pt idx="12">
                  <c:v>-0.19239999063571606</c:v>
                </c:pt>
                <c:pt idx="13">
                  <c:v>-0.19257475001847896</c:v>
                </c:pt>
                <c:pt idx="14">
                  <c:v>-0.205987532645524</c:v>
                </c:pt>
                <c:pt idx="15">
                  <c:v>-0.20689045612313178</c:v>
                </c:pt>
                <c:pt idx="16">
                  <c:v>-0.20706521550589457</c:v>
                </c:pt>
                <c:pt idx="17">
                  <c:v>-0.22623049448221516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FE-4629-911E-6EFE1C81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827936"/>
        <c:axId val="1"/>
      </c:scatterChart>
      <c:valAx>
        <c:axId val="7068279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656685519944"/>
              <c:y val="0.87261146496815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4788732394366E-2"/>
              <c:y val="0.353503184713375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82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725370596281097"/>
          <c:y val="0.92675159235668791"/>
          <c:w val="0.93309951572954786"/>
          <c:h val="0.990445859872611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Her - O-C Diagr.</a:t>
            </a:r>
          </a:p>
        </c:rich>
      </c:tx>
      <c:layout>
        <c:manualLayout>
          <c:xMode val="edge"/>
          <c:yMode val="edge"/>
          <c:x val="0.37366003062787134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754977029096"/>
          <c:y val="8.860773185282933E-2"/>
          <c:w val="0.86064318529862172"/>
          <c:h val="0.72468466408206844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D!$H$21:$H$994</c:f>
              <c:numCache>
                <c:formatCode>0.0000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B-4442-8034-CBC8A3A2CFE6}"/>
            </c:ext>
          </c:extLst>
        </c:ser>
        <c:ser>
          <c:idx val="1"/>
          <c:order val="1"/>
          <c:tx>
            <c:strRef>
              <c:f>D!$I$20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D!$D$22:$D$45</c:f>
                <c:numCache>
                  <c:formatCode>General</c:formatCode>
                  <c:ptCount val="24"/>
                  <c:pt idx="0">
                    <c:v>1.5E-3</c:v>
                  </c:pt>
                  <c:pt idx="4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D!$I$21:$I$994</c:f>
              <c:numCache>
                <c:formatCode>0.0000</c:formatCode>
                <c:ptCount val="974"/>
                <c:pt idx="2">
                  <c:v>-9.8244000000704546E-2</c:v>
                </c:pt>
                <c:pt idx="3">
                  <c:v>1.7348000001220498E-2</c:v>
                </c:pt>
                <c:pt idx="4">
                  <c:v>1.7343999999866355E-2</c:v>
                </c:pt>
                <c:pt idx="6">
                  <c:v>1.0559999995166436E-2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B-4442-8034-CBC8A3A2CFE6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D!$D$21:$D$45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1.5E-3</c:v>
                  </c:pt>
                  <c:pt idx="5">
                    <c:v>8.9999999999999998E-4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2.0000000000000001E-4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D!$J$21:$J$994</c:f>
              <c:numCache>
                <c:formatCode>0.0000</c:formatCode>
                <c:ptCount val="974"/>
                <c:pt idx="1">
                  <c:v>1.724399999511661E-2</c:v>
                </c:pt>
                <c:pt idx="5">
                  <c:v>1.4291999992565252E-2</c:v>
                </c:pt>
                <c:pt idx="8">
                  <c:v>1.5643999999156222E-2</c:v>
                </c:pt>
                <c:pt idx="9">
                  <c:v>1.5095999995537568E-2</c:v>
                </c:pt>
                <c:pt idx="14">
                  <c:v>1.4419999999518041E-2</c:v>
                </c:pt>
                <c:pt idx="15">
                  <c:v>1.3727999998081941E-2</c:v>
                </c:pt>
                <c:pt idx="16">
                  <c:v>1.6371999998227693E-2</c:v>
                </c:pt>
                <c:pt idx="17">
                  <c:v>1.7100000004575122E-2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0B-4442-8034-CBC8A3A2CFE6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D!$K$21:$K$994</c:f>
              <c:numCache>
                <c:formatCode>0.0000</c:formatCode>
                <c:ptCount val="974"/>
                <c:pt idx="10">
                  <c:v>1.5983999997843057E-2</c:v>
                </c:pt>
                <c:pt idx="11">
                  <c:v>1.8415999991702847E-2</c:v>
                </c:pt>
                <c:pt idx="12">
                  <c:v>1.3395999994827434E-2</c:v>
                </c:pt>
                <c:pt idx="13">
                  <c:v>1.5639999997802079E-2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0B-4442-8034-CBC8A3A2CFE6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0B-4442-8034-CBC8A3A2CFE6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D!$M$21:$M$994</c:f>
              <c:numCache>
                <c:formatCode>0.0000</c:formatCode>
                <c:ptCount val="974"/>
                <c:pt idx="7">
                  <c:v>1.5559999999823049E-2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0B-4442-8034-CBC8A3A2CFE6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21807</c:v>
                </c:pt>
                <c:pt idx="2">
                  <c:v>21880.5</c:v>
                </c:pt>
                <c:pt idx="3">
                  <c:v>21881.5</c:v>
                </c:pt>
                <c:pt idx="4">
                  <c:v>21882</c:v>
                </c:pt>
                <c:pt idx="5">
                  <c:v>21963.5</c:v>
                </c:pt>
                <c:pt idx="6">
                  <c:v>22055</c:v>
                </c:pt>
                <c:pt idx="7">
                  <c:v>24580</c:v>
                </c:pt>
                <c:pt idx="8">
                  <c:v>26194.5</c:v>
                </c:pt>
                <c:pt idx="9">
                  <c:v>26200.5</c:v>
                </c:pt>
                <c:pt idx="10">
                  <c:v>26214.5</c:v>
                </c:pt>
                <c:pt idx="11">
                  <c:v>26548</c:v>
                </c:pt>
                <c:pt idx="12">
                  <c:v>26550.5</c:v>
                </c:pt>
                <c:pt idx="13">
                  <c:v>26557.5</c:v>
                </c:pt>
                <c:pt idx="14">
                  <c:v>27097.5</c:v>
                </c:pt>
                <c:pt idx="15">
                  <c:v>27134</c:v>
                </c:pt>
                <c:pt idx="16">
                  <c:v>27141</c:v>
                </c:pt>
                <c:pt idx="17">
                  <c:v>27912.5</c:v>
                </c:pt>
              </c:numCache>
            </c:numRef>
          </c:xVal>
          <c:yVal>
            <c:numRef>
              <c:f>D!$N$21:$N$994</c:f>
              <c:numCache>
                <c:formatCode>0.0000</c:formatCode>
                <c:ptCount val="974"/>
                <c:pt idx="1">
                  <c:v>1.5373942528636763E-2</c:v>
                </c:pt>
                <c:pt idx="2">
                  <c:v>1.5376950199582346E-2</c:v>
                </c:pt>
                <c:pt idx="3">
                  <c:v>1.5376991120275484E-2</c:v>
                </c:pt>
                <c:pt idx="4">
                  <c:v>1.5377011580622052E-2</c:v>
                </c:pt>
                <c:pt idx="5">
                  <c:v>1.5380346617112732E-2</c:v>
                </c:pt>
                <c:pt idx="6">
                  <c:v>1.5384090860534785E-2</c:v>
                </c:pt>
                <c:pt idx="7">
                  <c:v>1.5487415610706181E-2</c:v>
                </c:pt>
                <c:pt idx="8">
                  <c:v>1.555348206977617E-2</c:v>
                </c:pt>
                <c:pt idx="9">
                  <c:v>1.5553727593934993E-2</c:v>
                </c:pt>
                <c:pt idx="10">
                  <c:v>1.5554300483638914E-2</c:v>
                </c:pt>
                <c:pt idx="11">
                  <c:v>1.5567947534800165E-2</c:v>
                </c:pt>
                <c:pt idx="12">
                  <c:v>1.5568049836533008E-2</c:v>
                </c:pt>
                <c:pt idx="13">
                  <c:v>1.5568336281384969E-2</c:v>
                </c:pt>
                <c:pt idx="14">
                  <c:v>1.5590433455679049E-2</c:v>
                </c:pt>
                <c:pt idx="15">
                  <c:v>1.5591927060978557E-2</c:v>
                </c:pt>
                <c:pt idx="16">
                  <c:v>1.5592213505830517E-2</c:v>
                </c:pt>
                <c:pt idx="17">
                  <c:v>1.5623783820585857E-2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0B-4442-8034-CBC8A3A2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831536"/>
        <c:axId val="1"/>
      </c:scatterChart>
      <c:valAx>
        <c:axId val="7068315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4241960183771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39509954058193E-2"/>
              <c:y val="0.354431044220738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83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3323124042879"/>
          <c:y val="0.92721651882122325"/>
          <c:w val="0.87748851454823895"/>
          <c:h val="0.990507658061729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514350</xdr:colOff>
      <xdr:row>17</xdr:row>
      <xdr:rowOff>104775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9477FF5A-FBE6-D9FA-1CF4-94186F94C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180975</xdr:colOff>
      <xdr:row>17</xdr:row>
      <xdr:rowOff>114300</xdr:rowOff>
    </xdr:to>
    <xdr:graphicFrame macro="">
      <xdr:nvGraphicFramePr>
        <xdr:cNvPr id="58372" name="Chart 2">
          <a:extLst>
            <a:ext uri="{FF2B5EF4-FFF2-40B4-BE49-F238E27FC236}">
              <a16:creationId xmlns:a16="http://schemas.microsoft.com/office/drawing/2014/main" id="{20F2C8E1-1039-C59F-6F2D-E67C1421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57150</xdr:rowOff>
    </xdr:from>
    <xdr:to>
      <xdr:col>16</xdr:col>
      <xdr:colOff>371475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522B55-D663-7E98-A772-A8E186A0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15</xdr:col>
      <xdr:colOff>638175</xdr:colOff>
      <xdr:row>17</xdr:row>
      <xdr:rowOff>57150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C561EAB-F713-8A24-7EA6-C24B33168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9525</xdr:rowOff>
    </xdr:from>
    <xdr:to>
      <xdr:col>13</xdr:col>
      <xdr:colOff>238125</xdr:colOff>
      <xdr:row>17</xdr:row>
      <xdr:rowOff>95250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0FE709C-353F-7B7D-EF96-FD17D34DF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9525</xdr:rowOff>
    </xdr:from>
    <xdr:to>
      <xdr:col>16</xdr:col>
      <xdr:colOff>0</xdr:colOff>
      <xdr:row>17</xdr:row>
      <xdr:rowOff>114300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985CF155-0EBD-53FE-5674-90AFD8DAD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45" TargetMode="External"/><Relationship Id="rId18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konkoly.hu/cgi-bin/IBVS?5837" TargetMode="External"/><Relationship Id="rId5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U5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7109375" customWidth="1"/>
    <col min="2" max="2" width="4.140625" customWidth="1"/>
    <col min="3" max="3" width="11.85546875" style="10" customWidth="1"/>
    <col min="4" max="4" width="11" style="10" customWidth="1"/>
    <col min="5" max="5" width="9.85546875" style="12" customWidth="1"/>
    <col min="6" max="6" width="16.85546875" customWidth="1"/>
    <col min="7" max="7" width="8.140625" style="10" customWidth="1"/>
    <col min="8" max="13" width="8.5703125" style="10" customWidth="1"/>
    <col min="14" max="14" width="8" style="10" customWidth="1"/>
    <col min="15" max="15" width="7.7109375" style="10" customWidth="1"/>
    <col min="16" max="16" width="10.42578125" style="14" customWidth="1"/>
    <col min="17" max="17" width="9.140625" style="13" customWidth="1"/>
    <col min="18" max="18" width="18.7109375" style="13" bestFit="1" customWidth="1"/>
  </cols>
  <sheetData>
    <row r="1" spans="1:18" ht="20.25" x14ac:dyDescent="0.3">
      <c r="A1" s="1" t="s">
        <v>81</v>
      </c>
      <c r="B1" s="1"/>
      <c r="C1" s="17"/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29</v>
      </c>
      <c r="B2" t="s">
        <v>31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C3"/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4</v>
      </c>
      <c r="B4" s="7"/>
      <c r="C4" s="2">
        <v>41945.292000000001</v>
      </c>
      <c r="D4" s="3">
        <v>0.54200000000000004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42" t="s">
        <v>65</v>
      </c>
      <c r="B5" s="22"/>
      <c r="C5" s="43">
        <v>-9.5</v>
      </c>
      <c r="D5" s="22" t="s">
        <v>66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5</v>
      </c>
      <c r="B6" s="7"/>
      <c r="C6" s="17" t="s">
        <v>64</v>
      </c>
      <c r="D6"/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6</v>
      </c>
      <c r="C7" s="10">
        <v>41945.292000000001</v>
      </c>
      <c r="D7" s="38" t="s">
        <v>63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7</v>
      </c>
      <c r="C8" s="15">
        <v>0.213204</v>
      </c>
      <c r="D8" s="15">
        <v>0.42640800000000001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53" t="s">
        <v>71</v>
      </c>
      <c r="B9" s="54">
        <v>45</v>
      </c>
      <c r="C9" s="52" t="str">
        <f>"F"&amp;B9</f>
        <v>F45</v>
      </c>
      <c r="D9" s="18" t="str">
        <f>"G"&amp;B9</f>
        <v>G45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A10" s="22"/>
      <c r="B10" s="22"/>
      <c r="C10" s="6" t="s">
        <v>24</v>
      </c>
      <c r="D10" s="6" t="s">
        <v>25</v>
      </c>
      <c r="E10" s="22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s="22" t="s">
        <v>20</v>
      </c>
      <c r="B11" s="22"/>
      <c r="C11" s="51">
        <f ca="1">INTERCEPT(INDIRECT($D$9):G990,INDIRECT($C$9):F990)</f>
        <v>0.23467526189315369</v>
      </c>
      <c r="D11" s="5"/>
      <c r="E11" s="22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22" t="s">
        <v>21</v>
      </c>
      <c r="B12" s="22"/>
      <c r="C12" s="51">
        <f ca="1">SLOPE(INDIRECT($D$9):G990,INDIRECT($C$9):F990)</f>
        <v>-3.5729141098746953E-6</v>
      </c>
      <c r="D12" s="5"/>
      <c r="E12" s="2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2" t="s">
        <v>23</v>
      </c>
      <c r="B13" s="22"/>
      <c r="C13" s="5" t="s">
        <v>18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2"/>
      <c r="B14" s="22"/>
      <c r="C14" s="22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4" t="s">
        <v>22</v>
      </c>
      <c r="B15" s="22"/>
      <c r="C15" s="28">
        <f ca="1">(C7+C11)+(C8+C12)*INT(MAX(F21:F3531))</f>
        <v>57462.466959000063</v>
      </c>
      <c r="E15" s="45" t="s">
        <v>74</v>
      </c>
      <c r="F15" s="43">
        <v>1</v>
      </c>
      <c r="G15"/>
      <c r="H15"/>
      <c r="I15"/>
      <c r="J15"/>
      <c r="K15"/>
      <c r="L15"/>
      <c r="M15"/>
      <c r="N15"/>
      <c r="O15"/>
      <c r="R15"/>
    </row>
    <row r="16" spans="1:18" x14ac:dyDescent="0.2">
      <c r="A16" s="47" t="s">
        <v>8</v>
      </c>
      <c r="B16" s="22"/>
      <c r="C16" s="36">
        <f ca="1">+C8+C12</f>
        <v>0.21320042708589013</v>
      </c>
      <c r="E16" s="45" t="s">
        <v>67</v>
      </c>
      <c r="F16" s="46">
        <f ca="1">NOW()+15018.5+$C$5/24</f>
        <v>60354.695303009255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1" ht="13.5" thickBot="1" x14ac:dyDescent="0.25">
      <c r="A17" s="45" t="s">
        <v>57</v>
      </c>
      <c r="B17" s="22"/>
      <c r="C17" s="22">
        <f>COUNT(C21:C2189)</f>
        <v>30</v>
      </c>
      <c r="E17" s="45" t="s">
        <v>75</v>
      </c>
      <c r="F17" s="46">
        <f ca="1">ROUND(2*(F16-$C$7)/$C$8,0)/2+F15</f>
        <v>86347.5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1" ht="14.25" thickTop="1" thickBot="1" x14ac:dyDescent="0.25">
      <c r="A18" s="47" t="s">
        <v>9</v>
      </c>
      <c r="B18" s="22"/>
      <c r="C18" s="49">
        <f ca="1">+C15</f>
        <v>57462.466959000063</v>
      </c>
      <c r="D18" s="50">
        <f ca="1">+C16</f>
        <v>0.21320042708589013</v>
      </c>
      <c r="E18" s="45" t="s">
        <v>68</v>
      </c>
      <c r="F18" s="18">
        <f ca="1">ROUND(2*(F16-$C$15)/$C$16,0)/2+F15</f>
        <v>13567</v>
      </c>
      <c r="G18"/>
      <c r="H18"/>
      <c r="I18"/>
      <c r="J18"/>
      <c r="K18"/>
      <c r="L18"/>
      <c r="M18"/>
      <c r="N18"/>
      <c r="O18"/>
      <c r="P18" t="s">
        <v>59</v>
      </c>
      <c r="Q18" s="10">
        <f ca="1">SUM(Q22:Q38)</f>
        <v>2.3962573197564063E-2</v>
      </c>
      <c r="R18"/>
    </row>
    <row r="19" spans="1:21" ht="13.5" thickTop="1" x14ac:dyDescent="0.2">
      <c r="E19" s="45" t="s">
        <v>69</v>
      </c>
      <c r="F19" s="48">
        <f ca="1">+$C$15+$C$16*F18-15018.5-$C$5/24</f>
        <v>45336.852986607671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90</v>
      </c>
      <c r="I20" s="9" t="s">
        <v>93</v>
      </c>
      <c r="J20" s="9" t="s">
        <v>87</v>
      </c>
      <c r="K20" s="9" t="s">
        <v>85</v>
      </c>
      <c r="L20" s="9" t="s">
        <v>1</v>
      </c>
      <c r="M20" s="9" t="s">
        <v>2</v>
      </c>
      <c r="N20" s="9" t="s">
        <v>27</v>
      </c>
      <c r="O20" s="8" t="s">
        <v>26</v>
      </c>
      <c r="P20" s="6" t="s">
        <v>19</v>
      </c>
      <c r="Q20" s="23" t="s">
        <v>45</v>
      </c>
      <c r="R20"/>
      <c r="U20" s="90" t="s">
        <v>3</v>
      </c>
    </row>
    <row r="21" spans="1:21" x14ac:dyDescent="0.2">
      <c r="A21" t="s">
        <v>16</v>
      </c>
      <c r="B21" s="30"/>
      <c r="C21" s="83">
        <v>41945.292000000001</v>
      </c>
      <c r="D21" s="39" t="s">
        <v>18</v>
      </c>
      <c r="E21" s="12">
        <f t="shared" ref="E21:E50" si="0">+(C21-C$7)/C$8</f>
        <v>0</v>
      </c>
      <c r="F21">
        <f t="shared" ref="F21:F50" si="1">ROUND(2*E21,0)/2</f>
        <v>0</v>
      </c>
      <c r="G21" s="10">
        <f t="shared" ref="G21:G38" si="2">+C21-(C$7+F21*C$8)</f>
        <v>0</v>
      </c>
      <c r="I21" s="10">
        <f>+G21</f>
        <v>0</v>
      </c>
      <c r="P21" s="14">
        <f t="shared" ref="P21:P50" si="3">+C21-15018.5</f>
        <v>26926.792000000001</v>
      </c>
    </row>
    <row r="22" spans="1:21" x14ac:dyDescent="0.2">
      <c r="A22" t="s">
        <v>32</v>
      </c>
      <c r="B22" s="30" t="s">
        <v>33</v>
      </c>
      <c r="C22" s="84">
        <v>51243.988499999999</v>
      </c>
      <c r="D22" s="39">
        <v>1.5E-3</v>
      </c>
      <c r="E22" s="12">
        <f t="shared" si="0"/>
        <v>43614.080880283662</v>
      </c>
      <c r="F22">
        <f t="shared" si="1"/>
        <v>43614</v>
      </c>
      <c r="G22" s="10">
        <f t="shared" si="2"/>
        <v>1.724399999511661E-2</v>
      </c>
      <c r="K22" s="19">
        <f>+C22-(C$7+F22*C$8)</f>
        <v>1.724399999511661E-2</v>
      </c>
      <c r="P22" s="14">
        <f t="shared" si="3"/>
        <v>36225.488499999999</v>
      </c>
      <c r="Q22" s="10">
        <f t="shared" ref="Q22:Q50" si="4">+(N22-G22)^2</f>
        <v>2.9735553583158165E-4</v>
      </c>
    </row>
    <row r="23" spans="1:21" x14ac:dyDescent="0.2">
      <c r="A23" t="s">
        <v>35</v>
      </c>
      <c r="B23" s="30" t="s">
        <v>36</v>
      </c>
      <c r="C23" s="83">
        <v>51275.214</v>
      </c>
      <c r="D23" s="39"/>
      <c r="E23" s="12">
        <f t="shared" si="0"/>
        <v>43760.539201891137</v>
      </c>
      <c r="F23">
        <f t="shared" si="1"/>
        <v>43760.5</v>
      </c>
      <c r="G23" s="10">
        <f t="shared" si="2"/>
        <v>8.3579999991343357E-3</v>
      </c>
      <c r="H23" s="10">
        <f>G23</f>
        <v>8.3579999991343357E-3</v>
      </c>
      <c r="N23" s="10">
        <f ca="1">+C$11+C$12*F23</f>
        <v>7.832275398798208E-2</v>
      </c>
      <c r="P23" s="14">
        <f t="shared" si="3"/>
        <v>36256.714</v>
      </c>
      <c r="Q23" s="10">
        <f t="shared" ca="1" si="4"/>
        <v>4.895066800719986E-3</v>
      </c>
    </row>
    <row r="24" spans="1:21" x14ac:dyDescent="0.2">
      <c r="A24" s="26" t="s">
        <v>35</v>
      </c>
      <c r="B24" s="30" t="s">
        <v>34</v>
      </c>
      <c r="C24" s="83">
        <v>51275.756000000001</v>
      </c>
      <c r="D24" s="39"/>
      <c r="E24" s="12">
        <f t="shared" si="0"/>
        <v>43763.081368079394</v>
      </c>
      <c r="F24">
        <f t="shared" si="1"/>
        <v>43763</v>
      </c>
      <c r="G24" s="10">
        <f t="shared" si="2"/>
        <v>1.7348000001220498E-2</v>
      </c>
      <c r="H24" s="10">
        <f>G24</f>
        <v>1.7348000001220498E-2</v>
      </c>
      <c r="N24" s="10">
        <f ca="1">+C$11+C$12*F24</f>
        <v>7.8313821702707398E-2</v>
      </c>
      <c r="P24" s="14">
        <f t="shared" si="3"/>
        <v>36257.256000000001</v>
      </c>
      <c r="Q24" s="10">
        <f t="shared" ca="1" si="4"/>
        <v>3.7168314157374912E-3</v>
      </c>
    </row>
    <row r="25" spans="1:21" x14ac:dyDescent="0.2">
      <c r="A25" s="26" t="s">
        <v>35</v>
      </c>
      <c r="B25" s="30" t="s">
        <v>33</v>
      </c>
      <c r="C25" s="83">
        <v>51275.9692</v>
      </c>
      <c r="D25" s="39"/>
      <c r="E25" s="12">
        <f t="shared" si="0"/>
        <v>43764.081349318018</v>
      </c>
      <c r="F25">
        <f t="shared" si="1"/>
        <v>43764</v>
      </c>
      <c r="G25" s="10">
        <f t="shared" si="2"/>
        <v>1.7343999999866355E-2</v>
      </c>
      <c r="H25" s="10">
        <f>G25</f>
        <v>1.7343999999866355E-2</v>
      </c>
      <c r="N25" s="10">
        <f ca="1">+C$11+C$12*F25</f>
        <v>7.831024878859752E-2</v>
      </c>
      <c r="P25" s="14">
        <f t="shared" si="3"/>
        <v>36257.4692</v>
      </c>
      <c r="Q25" s="10">
        <f t="shared" ca="1" si="4"/>
        <v>3.716883491369464E-3</v>
      </c>
    </row>
    <row r="26" spans="1:21" x14ac:dyDescent="0.2">
      <c r="A26" s="26" t="s">
        <v>32</v>
      </c>
      <c r="B26" s="30" t="s">
        <v>34</v>
      </c>
      <c r="C26" s="83">
        <v>51310.718399999998</v>
      </c>
      <c r="D26" s="39">
        <v>8.9999999999999998E-4</v>
      </c>
      <c r="E26" s="12">
        <f t="shared" si="0"/>
        <v>43927.067034389584</v>
      </c>
      <c r="F26">
        <f t="shared" si="1"/>
        <v>43927</v>
      </c>
      <c r="G26" s="10">
        <f t="shared" si="2"/>
        <v>1.4291999992565252E-2</v>
      </c>
      <c r="K26" s="10">
        <f>+G26</f>
        <v>1.4291999992565252E-2</v>
      </c>
      <c r="P26" s="14">
        <f t="shared" si="3"/>
        <v>36292.218399999998</v>
      </c>
      <c r="Q26" s="10">
        <f t="shared" si="4"/>
        <v>2.0426126378748517E-4</v>
      </c>
    </row>
    <row r="27" spans="1:21" x14ac:dyDescent="0.2">
      <c r="A27" s="26" t="s">
        <v>35</v>
      </c>
      <c r="B27" s="30" t="s">
        <v>37</v>
      </c>
      <c r="C27" s="83">
        <v>51349.731</v>
      </c>
      <c r="D27" s="39"/>
      <c r="E27" s="12">
        <f t="shared" si="0"/>
        <v>44110.049530027572</v>
      </c>
      <c r="F27">
        <f t="shared" si="1"/>
        <v>44110</v>
      </c>
      <c r="G27" s="10">
        <f t="shared" si="2"/>
        <v>1.0559999995166436E-2</v>
      </c>
      <c r="H27" s="10">
        <f>+G27</f>
        <v>1.0559999995166436E-2</v>
      </c>
      <c r="N27" s="10">
        <f ca="1">+C$11+C$12*F27</f>
        <v>7.7074020506580881E-2</v>
      </c>
      <c r="P27" s="14">
        <f t="shared" si="3"/>
        <v>36331.231</v>
      </c>
      <c r="Q27" s="10">
        <f t="shared" ca="1" si="4"/>
        <v>4.4241149245928613E-3</v>
      </c>
    </row>
    <row r="28" spans="1:21" x14ac:dyDescent="0.2">
      <c r="A28" s="26" t="s">
        <v>40</v>
      </c>
      <c r="B28" s="30" t="s">
        <v>33</v>
      </c>
      <c r="C28" s="83">
        <v>52426.4162</v>
      </c>
      <c r="D28" s="39">
        <v>8.9999999999999998E-4</v>
      </c>
      <c r="E28" s="12">
        <f t="shared" si="0"/>
        <v>49160.072981745172</v>
      </c>
      <c r="F28">
        <f t="shared" si="1"/>
        <v>49160</v>
      </c>
      <c r="G28" s="10">
        <f t="shared" si="2"/>
        <v>1.5559999999823049E-2</v>
      </c>
      <c r="K28" s="10">
        <f>G28</f>
        <v>1.5559999999823049E-2</v>
      </c>
      <c r="P28" s="14">
        <f t="shared" si="3"/>
        <v>37407.9162</v>
      </c>
      <c r="Q28" s="10">
        <f t="shared" si="4"/>
        <v>2.4211359999449329E-4</v>
      </c>
    </row>
    <row r="29" spans="1:21" x14ac:dyDescent="0.2">
      <c r="A29" s="29" t="s">
        <v>44</v>
      </c>
      <c r="B29" s="20" t="s">
        <v>34</v>
      </c>
      <c r="C29" s="85">
        <v>53114.851999999999</v>
      </c>
      <c r="D29" s="39">
        <v>6.9999999999999999E-4</v>
      </c>
      <c r="E29" s="12">
        <f t="shared" si="0"/>
        <v>52389.073375734028</v>
      </c>
      <c r="F29">
        <f t="shared" si="1"/>
        <v>52389</v>
      </c>
      <c r="G29" s="10">
        <f t="shared" si="2"/>
        <v>1.5643999999156222E-2</v>
      </c>
      <c r="J29" s="10">
        <f>G29</f>
        <v>1.5643999999156222E-2</v>
      </c>
      <c r="K29" s="10">
        <f>+G29</f>
        <v>1.5643999999156222E-2</v>
      </c>
      <c r="P29" s="14">
        <f t="shared" si="3"/>
        <v>38096.351999999999</v>
      </c>
      <c r="Q29" s="10">
        <f t="shared" si="4"/>
        <v>2.4473473597359986E-4</v>
      </c>
    </row>
    <row r="30" spans="1:21" x14ac:dyDescent="0.2">
      <c r="A30" s="35" t="s">
        <v>56</v>
      </c>
      <c r="B30" s="20"/>
      <c r="C30" s="83">
        <v>53117.409899999999</v>
      </c>
      <c r="D30" s="39">
        <v>1E-3</v>
      </c>
      <c r="E30" s="12">
        <f t="shared" si="0"/>
        <v>52401.070805425778</v>
      </c>
      <c r="F30">
        <f t="shared" si="1"/>
        <v>52401</v>
      </c>
      <c r="G30" s="10">
        <f t="shared" si="2"/>
        <v>1.5095999995537568E-2</v>
      </c>
      <c r="J30" s="10">
        <f>G30</f>
        <v>1.5095999995537568E-2</v>
      </c>
      <c r="N30" s="10">
        <f ca="1">+C$11+C$12*F30</f>
        <v>4.745098962160979E-2</v>
      </c>
      <c r="P30" s="14">
        <f t="shared" si="3"/>
        <v>38098.909899999999</v>
      </c>
      <c r="Q30" s="10">
        <f t="shared" ca="1" si="4"/>
        <v>1.0468453537032412E-3</v>
      </c>
    </row>
    <row r="31" spans="1:21" x14ac:dyDescent="0.2">
      <c r="A31" s="31" t="s">
        <v>49</v>
      </c>
      <c r="B31" s="30" t="s">
        <v>33</v>
      </c>
      <c r="C31" s="83">
        <v>53123.380499999999</v>
      </c>
      <c r="D31" s="39">
        <v>8.0000000000000004E-4</v>
      </c>
      <c r="E31" s="12">
        <f t="shared" si="0"/>
        <v>52429.074970450827</v>
      </c>
      <c r="F31">
        <f t="shared" si="1"/>
        <v>52429</v>
      </c>
      <c r="G31" s="10">
        <f t="shared" si="2"/>
        <v>1.5983999997843057E-2</v>
      </c>
      <c r="K31" s="19">
        <f>+C31-(C$7+F31*C$8)</f>
        <v>1.5983999997843057E-2</v>
      </c>
      <c r="P31" s="14">
        <f t="shared" si="3"/>
        <v>38104.880499999999</v>
      </c>
      <c r="Q31" s="10">
        <f t="shared" si="4"/>
        <v>2.5548825593104687E-4</v>
      </c>
    </row>
    <row r="32" spans="1:21" x14ac:dyDescent="0.2">
      <c r="A32" s="27" t="s">
        <v>39</v>
      </c>
      <c r="B32" s="30" t="s">
        <v>34</v>
      </c>
      <c r="C32" s="83">
        <v>53265.59</v>
      </c>
      <c r="D32" s="39">
        <v>2.0000000000000001E-4</v>
      </c>
      <c r="E32" s="12">
        <f t="shared" si="0"/>
        <v>53096.086377366257</v>
      </c>
      <c r="F32">
        <f t="shared" si="1"/>
        <v>53096</v>
      </c>
      <c r="G32" s="10">
        <f t="shared" si="2"/>
        <v>1.8415999991702847E-2</v>
      </c>
      <c r="K32" s="19">
        <f>+C32-(C$7+F32*C$8)</f>
        <v>1.8415999991702847E-2</v>
      </c>
      <c r="N32" s="10">
        <f t="shared" ref="N32:N50" ca="1" si="5">+C$11+C$12*F32</f>
        <v>4.4967814315246851E-2</v>
      </c>
      <c r="P32" s="14">
        <f t="shared" si="3"/>
        <v>38247.089999999997</v>
      </c>
      <c r="Q32" s="10">
        <f t="shared" ca="1" si="4"/>
        <v>7.0499884387195655E-4</v>
      </c>
    </row>
    <row r="33" spans="1:21" x14ac:dyDescent="0.2">
      <c r="A33" s="27" t="s">
        <v>39</v>
      </c>
      <c r="B33" s="30" t="s">
        <v>34</v>
      </c>
      <c r="C33" s="83">
        <v>53266.650999999998</v>
      </c>
      <c r="D33" s="41">
        <v>4.0000000000000002E-4</v>
      </c>
      <c r="E33" s="12">
        <f t="shared" si="0"/>
        <v>53101.062831841788</v>
      </c>
      <c r="F33">
        <f t="shared" si="1"/>
        <v>53101</v>
      </c>
      <c r="G33" s="10">
        <f t="shared" si="2"/>
        <v>1.3395999994827434E-2</v>
      </c>
      <c r="K33" s="10">
        <f>+G33</f>
        <v>1.3395999994827434E-2</v>
      </c>
      <c r="N33" s="10">
        <f t="shared" ca="1" si="5"/>
        <v>4.4949949744697487E-2</v>
      </c>
      <c r="P33" s="14">
        <f t="shared" si="3"/>
        <v>38248.150999999998</v>
      </c>
      <c r="Q33" s="10">
        <f t="shared" ca="1" si="4"/>
        <v>9.9565174481732431E-4</v>
      </c>
    </row>
    <row r="34" spans="1:21" x14ac:dyDescent="0.2">
      <c r="A34" s="27" t="s">
        <v>39</v>
      </c>
      <c r="B34" s="30" t="s">
        <v>34</v>
      </c>
      <c r="C34" s="83">
        <v>53269.638099999996</v>
      </c>
      <c r="D34" s="39"/>
      <c r="E34" s="12">
        <f t="shared" si="0"/>
        <v>53115.073356972644</v>
      </c>
      <c r="F34">
        <f t="shared" si="1"/>
        <v>53115</v>
      </c>
      <c r="G34" s="10">
        <f t="shared" si="2"/>
        <v>1.5639999997802079E-2</v>
      </c>
      <c r="K34" s="19">
        <f>+C34-(C$7+F34*C$8)</f>
        <v>1.5639999997802079E-2</v>
      </c>
      <c r="N34" s="10">
        <f t="shared" ca="1" si="5"/>
        <v>4.4899928947159246E-2</v>
      </c>
      <c r="P34" s="14">
        <f t="shared" si="3"/>
        <v>38251.138099999996</v>
      </c>
      <c r="Q34" s="10">
        <f t="shared" ca="1" si="4"/>
        <v>8.561434421214296E-4</v>
      </c>
    </row>
    <row r="35" spans="1:21" x14ac:dyDescent="0.2">
      <c r="A35" s="32" t="s">
        <v>55</v>
      </c>
      <c r="B35" s="5"/>
      <c r="C35" s="83">
        <v>53499.897199999999</v>
      </c>
      <c r="D35" s="39"/>
      <c r="E35" s="12">
        <f t="shared" si="0"/>
        <v>54195.067634753563</v>
      </c>
      <c r="F35">
        <f t="shared" si="1"/>
        <v>54195</v>
      </c>
      <c r="G35" s="10">
        <f t="shared" si="2"/>
        <v>1.4419999999518041E-2</v>
      </c>
      <c r="K35" s="19">
        <f>+C35-(C$7+F35*C$8)</f>
        <v>1.4419999999518041E-2</v>
      </c>
      <c r="L35" s="10">
        <f>G35</f>
        <v>1.4419999999518041E-2</v>
      </c>
      <c r="N35" s="10">
        <f t="shared" ca="1" si="5"/>
        <v>4.1041181708494578E-2</v>
      </c>
      <c r="P35" s="14">
        <f t="shared" si="3"/>
        <v>38481.397199999999</v>
      </c>
      <c r="Q35" s="10">
        <f t="shared" ca="1" si="4"/>
        <v>7.0868731558234698E-4</v>
      </c>
    </row>
    <row r="36" spans="1:21" x14ac:dyDescent="0.2">
      <c r="A36" s="22" t="s">
        <v>58</v>
      </c>
      <c r="B36" s="21"/>
      <c r="C36" s="83">
        <v>53515.460400000004</v>
      </c>
      <c r="D36" s="39"/>
      <c r="E36" s="12">
        <f t="shared" si="0"/>
        <v>54268.064389035862</v>
      </c>
      <c r="F36">
        <f t="shared" si="1"/>
        <v>54268</v>
      </c>
      <c r="G36" s="10">
        <f t="shared" si="2"/>
        <v>1.3727999998081941E-2</v>
      </c>
      <c r="J36" s="10">
        <f>G36</f>
        <v>1.3727999998081941E-2</v>
      </c>
      <c r="N36" s="10">
        <f t="shared" ca="1" si="5"/>
        <v>4.0780358978473707E-2</v>
      </c>
      <c r="P36" s="14">
        <f t="shared" si="3"/>
        <v>38496.960400000004</v>
      </c>
      <c r="Q36" s="10">
        <f t="shared" ca="1" si="4"/>
        <v>7.3183012640398303E-4</v>
      </c>
    </row>
    <row r="37" spans="1:21" x14ac:dyDescent="0.2">
      <c r="A37" s="55" t="s">
        <v>58</v>
      </c>
      <c r="B37" s="56"/>
      <c r="C37" s="84">
        <v>53518.447899999999</v>
      </c>
      <c r="D37" s="40"/>
      <c r="E37" s="12">
        <f t="shared" si="0"/>
        <v>54282.076790304112</v>
      </c>
      <c r="F37">
        <f t="shared" si="1"/>
        <v>54282</v>
      </c>
      <c r="G37" s="10">
        <f t="shared" si="2"/>
        <v>1.6371999998227693E-2</v>
      </c>
      <c r="J37" s="10">
        <f>G37</f>
        <v>1.6371999998227693E-2</v>
      </c>
      <c r="N37" s="10">
        <f t="shared" ca="1" si="5"/>
        <v>4.0730338180935466E-2</v>
      </c>
      <c r="P37" s="14">
        <f t="shared" si="3"/>
        <v>38499.947899999999</v>
      </c>
      <c r="Q37" s="10">
        <f t="shared" ca="1" si="4"/>
        <v>5.9332863902315943E-4</v>
      </c>
    </row>
    <row r="38" spans="1:21" x14ac:dyDescent="0.2">
      <c r="A38" s="55" t="s">
        <v>58</v>
      </c>
      <c r="B38" s="56"/>
      <c r="C38" s="84">
        <v>53847.422400000003</v>
      </c>
      <c r="D38" s="40"/>
      <c r="E38" s="12">
        <f t="shared" si="0"/>
        <v>55825.080204874212</v>
      </c>
      <c r="F38">
        <f t="shared" si="1"/>
        <v>55825</v>
      </c>
      <c r="G38" s="10">
        <f t="shared" si="2"/>
        <v>1.7100000004575122E-2</v>
      </c>
      <c r="J38" s="10">
        <f>G38</f>
        <v>1.7100000004575122E-2</v>
      </c>
      <c r="N38" s="10">
        <f t="shared" ca="1" si="5"/>
        <v>3.5217331709398808E-2</v>
      </c>
      <c r="P38" s="14">
        <f t="shared" si="3"/>
        <v>38828.922400000003</v>
      </c>
      <c r="Q38" s="10">
        <f t="shared" ca="1" si="4"/>
        <v>3.2823770810260953E-4</v>
      </c>
    </row>
    <row r="39" spans="1:21" x14ac:dyDescent="0.2">
      <c r="A39" s="29" t="s">
        <v>70</v>
      </c>
      <c r="B39" s="57"/>
      <c r="C39" s="84">
        <v>54222.4375</v>
      </c>
      <c r="D39" s="29">
        <v>3.5000000000000001E-3</v>
      </c>
      <c r="E39" s="12">
        <f t="shared" si="0"/>
        <v>57584.02984934616</v>
      </c>
      <c r="F39">
        <f t="shared" si="1"/>
        <v>57584</v>
      </c>
      <c r="J39" s="25">
        <v>6.3640000007580966E-3</v>
      </c>
      <c r="N39" s="10">
        <f t="shared" ca="1" si="5"/>
        <v>2.8932575790129228E-2</v>
      </c>
      <c r="P39" s="14">
        <f t="shared" si="3"/>
        <v>39203.9375</v>
      </c>
      <c r="Q39" s="10">
        <f t="shared" ca="1" si="4"/>
        <v>8.370939418515719E-4</v>
      </c>
    </row>
    <row r="40" spans="1:21" x14ac:dyDescent="0.2">
      <c r="A40" s="55" t="s">
        <v>72</v>
      </c>
      <c r="B40" s="58" t="s">
        <v>33</v>
      </c>
      <c r="C40" s="84">
        <v>54297.493799999997</v>
      </c>
      <c r="D40" s="40"/>
      <c r="E40" s="12">
        <f t="shared" si="0"/>
        <v>57936.069679743319</v>
      </c>
      <c r="F40">
        <f t="shared" si="1"/>
        <v>57936</v>
      </c>
      <c r="G40" s="10">
        <f>+C40-(C$7+F40*C$8)</f>
        <v>1.485599999432452E-2</v>
      </c>
      <c r="J40" s="10">
        <f>G40</f>
        <v>1.485599999432452E-2</v>
      </c>
      <c r="N40" s="10">
        <f t="shared" ca="1" si="5"/>
        <v>2.7674910023453347E-2</v>
      </c>
      <c r="P40" s="14">
        <f t="shared" si="3"/>
        <v>39278.993799999997</v>
      </c>
      <c r="Q40" s="10">
        <f t="shared" ca="1" si="4"/>
        <v>1.6432445433489963E-4</v>
      </c>
    </row>
    <row r="41" spans="1:21" x14ac:dyDescent="0.2">
      <c r="A41" s="59" t="s">
        <v>76</v>
      </c>
      <c r="B41" s="60" t="s">
        <v>34</v>
      </c>
      <c r="C41" s="86">
        <v>54937.527199999997</v>
      </c>
      <c r="D41" s="86">
        <v>8.0000000000000004E-4</v>
      </c>
      <c r="E41" s="12">
        <f t="shared" si="0"/>
        <v>60938.046190502973</v>
      </c>
      <c r="F41">
        <f t="shared" si="1"/>
        <v>60938</v>
      </c>
      <c r="G41" s="10">
        <f>+C41-(C$7+F41*C$8)</f>
        <v>9.8479999942355789E-3</v>
      </c>
      <c r="J41" s="10">
        <f>G41</f>
        <v>9.8479999942355789E-3</v>
      </c>
      <c r="N41" s="10">
        <f t="shared" ca="1" si="5"/>
        <v>1.6949021865609509E-2</v>
      </c>
      <c r="P41" s="14">
        <f t="shared" si="3"/>
        <v>39919.027199999997</v>
      </c>
      <c r="Q41" s="10">
        <f t="shared" ca="1" si="4"/>
        <v>5.0424511617730918E-5</v>
      </c>
    </row>
    <row r="42" spans="1:21" x14ac:dyDescent="0.2">
      <c r="A42" s="59" t="s">
        <v>73</v>
      </c>
      <c r="B42" s="60" t="s">
        <v>34</v>
      </c>
      <c r="C42" s="86">
        <v>55312.760999999999</v>
      </c>
      <c r="D42" s="59">
        <v>2.0000000000000001E-4</v>
      </c>
      <c r="E42" s="12">
        <f t="shared" si="0"/>
        <v>62698.02161310293</v>
      </c>
      <c r="F42">
        <f t="shared" si="1"/>
        <v>62698</v>
      </c>
      <c r="N42" s="10">
        <f t="shared" ca="1" si="5"/>
        <v>1.0660693032230051E-2</v>
      </c>
      <c r="P42" s="14">
        <f t="shared" si="3"/>
        <v>40294.260999999999</v>
      </c>
      <c r="Q42" s="10">
        <f t="shared" ca="1" si="4"/>
        <v>1.1365037592743836E-4</v>
      </c>
      <c r="U42" s="25">
        <v>4.607999995641876E-3</v>
      </c>
    </row>
    <row r="43" spans="1:21" x14ac:dyDescent="0.2">
      <c r="A43" s="61" t="s">
        <v>82</v>
      </c>
      <c r="B43" s="61"/>
      <c r="C43" s="87">
        <v>55388.448700000001</v>
      </c>
      <c r="D43" s="62">
        <v>2.3E-3</v>
      </c>
      <c r="E43" s="12">
        <f t="shared" si="0"/>
        <v>63053.022926399128</v>
      </c>
      <c r="F43">
        <f t="shared" si="1"/>
        <v>63053</v>
      </c>
      <c r="G43" s="10">
        <f t="shared" ref="G43:G50" si="6">+C43-(C$7+F43*C$8)</f>
        <v>4.8880000031203963E-3</v>
      </c>
      <c r="J43" s="10">
        <f>G43</f>
        <v>4.8880000031203963E-3</v>
      </c>
      <c r="N43" s="10">
        <f t="shared" ca="1" si="5"/>
        <v>9.3923085232245351E-3</v>
      </c>
      <c r="P43" s="14">
        <f t="shared" si="3"/>
        <v>40369.948700000001</v>
      </c>
      <c r="Q43" s="10">
        <f t="shared" ca="1" si="4"/>
        <v>2.0288795244282738E-5</v>
      </c>
    </row>
    <row r="44" spans="1:21" x14ac:dyDescent="0.2">
      <c r="A44" s="59" t="s">
        <v>77</v>
      </c>
      <c r="B44" s="60" t="s">
        <v>34</v>
      </c>
      <c r="C44" s="86">
        <v>55726.797599999998</v>
      </c>
      <c r="D44" s="59">
        <v>6.9999999999999999E-4</v>
      </c>
      <c r="E44" s="12">
        <f t="shared" si="0"/>
        <v>64639.995497270203</v>
      </c>
      <c r="F44">
        <f t="shared" si="1"/>
        <v>64640</v>
      </c>
      <c r="G44" s="10">
        <f t="shared" si="6"/>
        <v>-9.6000000485219061E-4</v>
      </c>
      <c r="K44" s="19">
        <f>+C44-(C$7+F44*C$8)</f>
        <v>-9.6000000485219061E-4</v>
      </c>
      <c r="N44" s="10">
        <f t="shared" ca="1" si="5"/>
        <v>3.722093830853368E-3</v>
      </c>
      <c r="P44" s="14">
        <f t="shared" si="3"/>
        <v>40708.297599999998</v>
      </c>
      <c r="Q44" s="10">
        <f t="shared" ca="1" si="4"/>
        <v>2.192200268635199E-5</v>
      </c>
    </row>
    <row r="45" spans="1:21" x14ac:dyDescent="0.2">
      <c r="A45" s="76" t="s">
        <v>79</v>
      </c>
      <c r="B45" s="30" t="s">
        <v>34</v>
      </c>
      <c r="C45" s="88">
        <v>56001.620199999998</v>
      </c>
      <c r="D45" s="77">
        <v>1.6000000000000001E-3</v>
      </c>
      <c r="E45" s="12">
        <f t="shared" si="0"/>
        <v>65929.007898538475</v>
      </c>
      <c r="F45">
        <f t="shared" si="1"/>
        <v>65929</v>
      </c>
      <c r="G45" s="10">
        <f t="shared" si="6"/>
        <v>1.6839999952935614E-3</v>
      </c>
      <c r="J45" s="10">
        <f>G45</f>
        <v>1.6839999952935614E-3</v>
      </c>
      <c r="N45" s="10">
        <f t="shared" ca="1" si="5"/>
        <v>-8.8339245677510059E-4</v>
      </c>
      <c r="P45" s="14">
        <f t="shared" si="3"/>
        <v>40983.120199999998</v>
      </c>
      <c r="Q45" s="10">
        <f t="shared" ca="1" si="4"/>
        <v>6.591504002939137E-6</v>
      </c>
    </row>
    <row r="46" spans="1:21" x14ac:dyDescent="0.2">
      <c r="A46" s="76" t="s">
        <v>79</v>
      </c>
      <c r="B46" s="30" t="s">
        <v>34</v>
      </c>
      <c r="C46" s="88">
        <v>56006.525500000003</v>
      </c>
      <c r="D46" s="77">
        <v>1.9E-3</v>
      </c>
      <c r="E46" s="12">
        <f t="shared" si="0"/>
        <v>65952.015440610878</v>
      </c>
      <c r="F46">
        <f t="shared" si="1"/>
        <v>65952</v>
      </c>
      <c r="G46" s="10">
        <f t="shared" si="6"/>
        <v>3.2920000012381934E-3</v>
      </c>
      <c r="J46" s="10">
        <f>G46</f>
        <v>3.2920000012381934E-3</v>
      </c>
      <c r="N46" s="10">
        <f t="shared" ca="1" si="5"/>
        <v>-9.6556948130221976E-4</v>
      </c>
      <c r="P46" s="14">
        <f t="shared" si="3"/>
        <v>40988.025500000003</v>
      </c>
      <c r="Q46" s="10">
        <f t="shared" ca="1" si="4"/>
        <v>1.8126897898659442E-5</v>
      </c>
    </row>
    <row r="47" spans="1:21" x14ac:dyDescent="0.2">
      <c r="A47" s="78" t="s">
        <v>78</v>
      </c>
      <c r="B47" s="26"/>
      <c r="C47" s="88">
        <v>56024.852863638371</v>
      </c>
      <c r="D47" s="79">
        <v>2.9999999999999997E-4</v>
      </c>
      <c r="E47" s="12">
        <f t="shared" si="0"/>
        <v>66037.977071904694</v>
      </c>
      <c r="F47">
        <f t="shared" si="1"/>
        <v>66038</v>
      </c>
      <c r="G47" s="10">
        <f t="shared" si="6"/>
        <v>-4.8883616327657364E-3</v>
      </c>
      <c r="K47" s="10">
        <f>+G47</f>
        <v>-4.8883616327657364E-3</v>
      </c>
      <c r="L47" s="10">
        <f>G47</f>
        <v>-4.8883616327657364E-3</v>
      </c>
      <c r="N47" s="10">
        <f t="shared" ca="1" si="5"/>
        <v>-1.272840094751454E-3</v>
      </c>
      <c r="P47" s="14">
        <f t="shared" si="3"/>
        <v>41006.352863638371</v>
      </c>
      <c r="Q47" s="10">
        <f t="shared" ca="1" si="4"/>
        <v>1.3071995991845162E-5</v>
      </c>
    </row>
    <row r="48" spans="1:21" x14ac:dyDescent="0.2">
      <c r="A48" s="76" t="s">
        <v>79</v>
      </c>
      <c r="B48" s="30" t="s">
        <v>33</v>
      </c>
      <c r="C48" s="88">
        <v>56055.554799999998</v>
      </c>
      <c r="D48" s="77">
        <v>1.4E-3</v>
      </c>
      <c r="E48" s="12">
        <f t="shared" si="0"/>
        <v>66181.979700193231</v>
      </c>
      <c r="F48">
        <f t="shared" si="1"/>
        <v>66182</v>
      </c>
      <c r="G48" s="10">
        <f t="shared" si="6"/>
        <v>-4.328000002715271E-3</v>
      </c>
      <c r="J48" s="10">
        <f>G48</f>
        <v>-4.328000002715271E-3</v>
      </c>
      <c r="N48" s="10">
        <f t="shared" ca="1" si="5"/>
        <v>-1.7873397265734114E-3</v>
      </c>
      <c r="P48" s="14">
        <f t="shared" si="3"/>
        <v>41037.054799999998</v>
      </c>
      <c r="Q48" s="10">
        <f t="shared" ca="1" si="4"/>
        <v>6.4549546387652299E-6</v>
      </c>
    </row>
    <row r="49" spans="1:17" x14ac:dyDescent="0.2">
      <c r="A49" s="77" t="s">
        <v>80</v>
      </c>
      <c r="B49" s="30" t="s">
        <v>34</v>
      </c>
      <c r="C49" s="88">
        <v>56489.419000000002</v>
      </c>
      <c r="D49" s="77">
        <v>8.9999999999999998E-4</v>
      </c>
      <c r="E49" s="12">
        <f t="shared" si="0"/>
        <v>68216.951839552727</v>
      </c>
      <c r="F49">
        <f t="shared" si="1"/>
        <v>68217</v>
      </c>
      <c r="G49" s="10">
        <f t="shared" si="6"/>
        <v>-1.0267999998177402E-2</v>
      </c>
      <c r="J49" s="10">
        <f>G49</f>
        <v>-1.0267999998177402E-2</v>
      </c>
      <c r="N49" s="10">
        <f t="shared" ca="1" si="5"/>
        <v>-9.0582199401683938E-3</v>
      </c>
      <c r="P49" s="14">
        <f t="shared" si="3"/>
        <v>41470.919000000002</v>
      </c>
      <c r="Q49" s="10">
        <f t="shared" ca="1" si="4"/>
        <v>1.4635677887562785E-6</v>
      </c>
    </row>
    <row r="50" spans="1:17" x14ac:dyDescent="0.2">
      <c r="A50" s="80" t="s">
        <v>0</v>
      </c>
      <c r="B50" s="81" t="s">
        <v>34</v>
      </c>
      <c r="C50" s="89">
        <v>57462.467499999999</v>
      </c>
      <c r="D50" s="82">
        <v>2.9999999999999997E-4</v>
      </c>
      <c r="E50" s="12">
        <f t="shared" si="0"/>
        <v>72780.883566912424</v>
      </c>
      <c r="F50">
        <f t="shared" si="1"/>
        <v>72781</v>
      </c>
      <c r="G50" s="10">
        <f t="shared" si="6"/>
        <v>-2.4824000000080559E-2</v>
      </c>
      <c r="J50" s="10">
        <f>G50</f>
        <v>-2.4824000000080559E-2</v>
      </c>
      <c r="N50" s="10">
        <f t="shared" ca="1" si="5"/>
        <v>-2.5364999937636523E-2</v>
      </c>
      <c r="P50" s="14">
        <f t="shared" si="3"/>
        <v>42443.967499999999</v>
      </c>
      <c r="Q50" s="10">
        <f t="shared" ca="1" si="4"/>
        <v>2.9268093243555667E-7</v>
      </c>
    </row>
  </sheetData>
  <phoneticPr fontId="9" type="noConversion"/>
  <hyperlinks>
    <hyperlink ref="H196" r:id="rId1" display="http://vsolj.cetus-net.org/bulletin.html"/>
    <hyperlink ref="H189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5"/>
  <sheetViews>
    <sheetView workbookViewId="0">
      <selection activeCell="A4" sqref="A4"/>
    </sheetView>
  </sheetViews>
  <sheetFormatPr defaultColWidth="10.28515625" defaultRowHeight="12.75" x14ac:dyDescent="0.2"/>
  <cols>
    <col min="1" max="1" width="15.7109375" customWidth="1"/>
    <col min="2" max="2" width="4.140625" customWidth="1"/>
    <col min="3" max="3" width="11.85546875" style="10" customWidth="1"/>
    <col min="4" max="4" width="9.42578125" style="10" customWidth="1"/>
    <col min="5" max="5" width="9.140625" style="12" customWidth="1"/>
    <col min="6" max="6" width="9.140625" customWidth="1"/>
    <col min="7" max="7" width="8.140625" style="10" customWidth="1"/>
    <col min="8" max="14" width="8.5703125" style="10" customWidth="1"/>
    <col min="15" max="15" width="8" style="10" customWidth="1"/>
    <col min="16" max="16" width="7.7109375" style="10" customWidth="1"/>
    <col min="17" max="17" width="10.42578125" style="14" customWidth="1"/>
    <col min="18" max="18" width="9.140625" style="13" customWidth="1"/>
    <col min="19" max="19" width="18.7109375" style="13" bestFit="1" customWidth="1"/>
  </cols>
  <sheetData>
    <row r="1" spans="1:19" ht="20.25" x14ac:dyDescent="0.3">
      <c r="A1" s="1" t="s">
        <v>62</v>
      </c>
      <c r="B1" s="1"/>
      <c r="D1"/>
      <c r="E1"/>
      <c r="G1"/>
      <c r="H1"/>
      <c r="I1"/>
      <c r="J1"/>
      <c r="K1"/>
      <c r="L1"/>
      <c r="M1"/>
      <c r="N1"/>
      <c r="O1"/>
      <c r="P1"/>
      <c r="Q1"/>
      <c r="R1"/>
      <c r="S1"/>
    </row>
    <row r="2" spans="1:19" x14ac:dyDescent="0.2">
      <c r="A2" t="s">
        <v>29</v>
      </c>
      <c r="B2" t="s">
        <v>31</v>
      </c>
      <c r="C2"/>
      <c r="D2"/>
      <c r="E2" t="s">
        <v>60</v>
      </c>
      <c r="F2" t="s">
        <v>61</v>
      </c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3.5" thickBot="1" x14ac:dyDescent="0.25">
      <c r="C3" s="17" t="s">
        <v>54</v>
      </c>
      <c r="D3"/>
      <c r="E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4.25" thickTop="1" thickBot="1" x14ac:dyDescent="0.25">
      <c r="A4" s="7" t="s">
        <v>4</v>
      </c>
      <c r="B4" s="7"/>
      <c r="C4" s="2">
        <v>41945.292000000001</v>
      </c>
      <c r="D4" s="3">
        <v>0.54200000000000004</v>
      </c>
      <c r="E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3.5" thickTop="1" x14ac:dyDescent="0.2">
      <c r="C5"/>
      <c r="D5"/>
      <c r="E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">
      <c r="A6" s="7" t="s">
        <v>5</v>
      </c>
      <c r="B6" s="7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">
      <c r="A7" t="s">
        <v>6</v>
      </c>
      <c r="C7" s="10">
        <v>41945.292000000001</v>
      </c>
      <c r="D7"/>
      <c r="E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">
      <c r="A8" t="s">
        <v>7</v>
      </c>
      <c r="C8" s="15">
        <v>0.54199609000000004</v>
      </c>
      <c r="D8"/>
      <c r="E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">
      <c r="A9" s="24" t="s">
        <v>46</v>
      </c>
      <c r="C9" s="25">
        <f>SUM(R22:R33)</f>
        <v>3.9533276616432224E-2</v>
      </c>
      <c r="E9" s="10" t="s">
        <v>52</v>
      </c>
      <c r="F9" s="10">
        <f>SQRT(C9)/COUNT(R21:R34)</f>
        <v>1.5294597533335081E-2</v>
      </c>
      <c r="G9" t="s">
        <v>53</v>
      </c>
      <c r="H9"/>
      <c r="I9"/>
      <c r="J9"/>
      <c r="K9"/>
      <c r="L9"/>
      <c r="M9"/>
      <c r="N9"/>
      <c r="O9"/>
      <c r="P9"/>
      <c r="Q9"/>
      <c r="R9"/>
      <c r="S9"/>
    </row>
    <row r="10" spans="1:19" ht="13.5" thickBot="1" x14ac:dyDescent="0.25">
      <c r="C10" s="6" t="s">
        <v>24</v>
      </c>
      <c r="D10" s="6" t="s">
        <v>25</v>
      </c>
      <c r="E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">
      <c r="A11" t="s">
        <v>20</v>
      </c>
      <c r="C11">
        <f>INTERCEPT(G21:G992,F21:F992)</f>
        <v>2.5281185712279677E-2</v>
      </c>
      <c r="D11" s="5"/>
      <c r="E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">
      <c r="A12" t="s">
        <v>21</v>
      </c>
      <c r="C12">
        <f>SLOPE(G21:G992,F21:F992)</f>
        <v>-3.2729594049732184E-6</v>
      </c>
      <c r="D12" s="5"/>
      <c r="E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">
      <c r="A13" t="s">
        <v>23</v>
      </c>
      <c r="C13" s="5" t="s">
        <v>18</v>
      </c>
      <c r="D13" s="5"/>
      <c r="E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">
      <c r="A14" t="s">
        <v>28</v>
      </c>
      <c r="C14"/>
      <c r="D14"/>
      <c r="E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">
      <c r="A15" s="4" t="s">
        <v>22</v>
      </c>
      <c r="B15" s="4"/>
      <c r="C15" s="28">
        <f>(C7+C11)+(C8+C12)*INT(MAX(F21:F3533))</f>
        <v>53847.479543397181</v>
      </c>
      <c r="D15">
        <f>MAX(C21:C43)</f>
        <v>53847.422400000003</v>
      </c>
      <c r="E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">
      <c r="A16" s="7" t="s">
        <v>8</v>
      </c>
      <c r="B16" s="7"/>
      <c r="C16" s="36">
        <f>+C8+C12</f>
        <v>0.5419928170405951</v>
      </c>
      <c r="D16">
        <f>+C$8+D$12+2*D$13*MAX(G21:G43)</f>
        <v>0.54199609000000004</v>
      </c>
      <c r="E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3.5" thickBot="1" x14ac:dyDescent="0.25">
      <c r="A17" s="37" t="s">
        <v>57</v>
      </c>
      <c r="C17">
        <f>COUNT(C21:C2191)</f>
        <v>18</v>
      </c>
      <c r="D17"/>
      <c r="E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4.25" thickTop="1" thickBot="1" x14ac:dyDescent="0.25">
      <c r="A18" s="7" t="s">
        <v>9</v>
      </c>
      <c r="B18" s="7"/>
      <c r="C18" s="2">
        <f>+C15</f>
        <v>53847.479543397181</v>
      </c>
      <c r="D18" s="3">
        <f>+C16</f>
        <v>0.5419928170405951</v>
      </c>
      <c r="E18"/>
      <c r="G18"/>
      <c r="H18"/>
      <c r="I18"/>
      <c r="J18"/>
      <c r="K18"/>
      <c r="L18"/>
      <c r="M18"/>
      <c r="N18"/>
      <c r="O18"/>
      <c r="P18"/>
      <c r="Q18" t="s">
        <v>59</v>
      </c>
      <c r="R18" s="10">
        <f>SUM(R22:R38)</f>
        <v>6.4110164175243151E-2</v>
      </c>
      <c r="S18"/>
    </row>
    <row r="19" spans="1:19" ht="13.5" thickTop="1" x14ac:dyDescent="0.2">
      <c r="C19"/>
      <c r="D19"/>
      <c r="E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35</v>
      </c>
      <c r="J20" s="9" t="s">
        <v>38</v>
      </c>
      <c r="K20" s="9" t="s">
        <v>39</v>
      </c>
      <c r="L20" s="9" t="s">
        <v>50</v>
      </c>
      <c r="M20" s="9" t="s">
        <v>51</v>
      </c>
      <c r="N20" s="9" t="s">
        <v>42</v>
      </c>
      <c r="O20" s="9" t="s">
        <v>27</v>
      </c>
      <c r="P20" s="8" t="s">
        <v>26</v>
      </c>
      <c r="Q20" s="6" t="s">
        <v>19</v>
      </c>
      <c r="R20" s="23" t="s">
        <v>45</v>
      </c>
      <c r="S20"/>
    </row>
    <row r="21" spans="1:19" x14ac:dyDescent="0.2">
      <c r="A21" t="s">
        <v>16</v>
      </c>
      <c r="B21" s="30"/>
      <c r="C21" s="10">
        <f>+C4</f>
        <v>41945.292000000001</v>
      </c>
      <c r="D21" s="11" t="s">
        <v>18</v>
      </c>
      <c r="E21" s="12">
        <f>+(C21-C$7)/C$8</f>
        <v>0</v>
      </c>
      <c r="F21">
        <f>ROUND(2*E21,0)/2</f>
        <v>0</v>
      </c>
      <c r="G21" s="10">
        <f>+C21-(C$7+F21*C$8)</f>
        <v>0</v>
      </c>
      <c r="H21" s="10">
        <f>+G21</f>
        <v>0</v>
      </c>
      <c r="O21" s="10">
        <f>+C$11+C$12*F21</f>
        <v>2.5281185712279677E-2</v>
      </c>
      <c r="Q21" s="14">
        <f>+C21-15018.5</f>
        <v>26926.792000000001</v>
      </c>
    </row>
    <row r="22" spans="1:19" x14ac:dyDescent="0.2">
      <c r="A22" t="s">
        <v>32</v>
      </c>
      <c r="B22" s="30" t="s">
        <v>33</v>
      </c>
      <c r="C22" s="34">
        <v>51243.988499999999</v>
      </c>
      <c r="D22" s="11">
        <v>1.5E-3</v>
      </c>
      <c r="E22" s="12">
        <f t="shared" ref="E22:E38" si="0">+(C22-C$7)/C$8</f>
        <v>17156.390371746034</v>
      </c>
      <c r="F22">
        <f t="shared" ref="F22:F38" si="1">ROUND(2*E22,0)/2</f>
        <v>17156.5</v>
      </c>
      <c r="J22" s="10">
        <f>+C22-(C$7+F22*C$8)</f>
        <v>-5.9418085002107546E-2</v>
      </c>
      <c r="O22" s="10">
        <f t="shared" ref="O22:O38" si="2">+C$11+C$12*F22</f>
        <v>-3.0871342319143347E-2</v>
      </c>
      <c r="Q22" s="14">
        <f t="shared" ref="Q22:Q38" si="3">+C22-15018.5</f>
        <v>36225.488499999999</v>
      </c>
      <c r="R22" s="10">
        <f t="shared" ref="R22:R38" si="4">+(O22-G22)^2</f>
        <v>9.5303977658573087E-4</v>
      </c>
    </row>
    <row r="23" spans="1:19" x14ac:dyDescent="0.2">
      <c r="A23" t="s">
        <v>35</v>
      </c>
      <c r="B23" s="30" t="s">
        <v>36</v>
      </c>
      <c r="C23" s="10">
        <v>51275.214</v>
      </c>
      <c r="D23" s="11"/>
      <c r="E23" s="12">
        <f t="shared" si="0"/>
        <v>17214.002410976798</v>
      </c>
      <c r="F23">
        <f t="shared" si="1"/>
        <v>17214</v>
      </c>
      <c r="G23" s="10">
        <f t="shared" ref="G23:G38" si="5">+C23-(C$7+F23*C$8)</f>
        <v>1.3067399995634332E-3</v>
      </c>
      <c r="I23" s="10">
        <f>+G23</f>
        <v>1.3067399995634332E-3</v>
      </c>
      <c r="O23" s="10">
        <f t="shared" si="2"/>
        <v>-3.1059537484929303E-2</v>
      </c>
      <c r="Q23" s="14">
        <f t="shared" si="3"/>
        <v>36256.714</v>
      </c>
      <c r="R23" s="10">
        <f t="shared" si="4"/>
        <v>1.0475759182031815E-3</v>
      </c>
      <c r="S23" s="16"/>
    </row>
    <row r="24" spans="1:19" x14ac:dyDescent="0.2">
      <c r="A24" s="26" t="s">
        <v>35</v>
      </c>
      <c r="B24" s="30" t="s">
        <v>34</v>
      </c>
      <c r="C24" s="10">
        <v>51275.756000000001</v>
      </c>
      <c r="D24" s="11"/>
      <c r="E24" s="12">
        <f t="shared" si="0"/>
        <v>17215.002418190874</v>
      </c>
      <c r="F24">
        <f t="shared" si="1"/>
        <v>17215</v>
      </c>
      <c r="G24" s="10">
        <f t="shared" si="5"/>
        <v>1.3106499973218888E-3</v>
      </c>
      <c r="I24" s="10">
        <f>G24</f>
        <v>1.3106499973218888E-3</v>
      </c>
      <c r="O24" s="10">
        <f t="shared" si="2"/>
        <v>-3.1062810444334274E-2</v>
      </c>
      <c r="Q24" s="14">
        <f t="shared" si="3"/>
        <v>36257.256000000001</v>
      </c>
      <c r="R24" s="10">
        <f t="shared" si="4"/>
        <v>1.0480409409674763E-3</v>
      </c>
    </row>
    <row r="25" spans="1:19" x14ac:dyDescent="0.2">
      <c r="A25" s="26" t="s">
        <v>35</v>
      </c>
      <c r="B25" s="30" t="s">
        <v>33</v>
      </c>
      <c r="C25" s="10">
        <v>51275.9692</v>
      </c>
      <c r="D25" s="11"/>
      <c r="E25" s="12">
        <f t="shared" si="0"/>
        <v>17215.395778962164</v>
      </c>
      <c r="F25">
        <f t="shared" si="1"/>
        <v>17215.5</v>
      </c>
      <c r="G25" s="10">
        <f t="shared" si="5"/>
        <v>-5.6487394998839591E-2</v>
      </c>
      <c r="I25" s="10">
        <f>G25</f>
        <v>-5.6487394998839591E-2</v>
      </c>
      <c r="O25" s="10">
        <f t="shared" si="2"/>
        <v>-3.1064446924036766E-2</v>
      </c>
      <c r="Q25" s="14">
        <f t="shared" si="3"/>
        <v>36257.4692</v>
      </c>
      <c r="R25" s="10">
        <f t="shared" si="4"/>
        <v>6.4632628881412064E-4</v>
      </c>
    </row>
    <row r="26" spans="1:19" x14ac:dyDescent="0.2">
      <c r="A26" s="26" t="s">
        <v>32</v>
      </c>
      <c r="B26" s="30" t="s">
        <v>34</v>
      </c>
      <c r="C26" s="10">
        <v>51310.718399999998</v>
      </c>
      <c r="D26" s="11">
        <v>8.9999999999999998E-4</v>
      </c>
      <c r="E26" s="12">
        <f t="shared" si="0"/>
        <v>17279.50915660664</v>
      </c>
      <c r="F26">
        <f t="shared" si="1"/>
        <v>17279.5</v>
      </c>
      <c r="G26" s="10">
        <f t="shared" si="5"/>
        <v>4.962844992405735E-3</v>
      </c>
      <c r="J26" s="10">
        <f>+G26</f>
        <v>4.962844992405735E-3</v>
      </c>
      <c r="O26" s="10">
        <f t="shared" si="2"/>
        <v>-3.1273916325955047E-2</v>
      </c>
      <c r="Q26" s="14">
        <f t="shared" si="3"/>
        <v>36292.218399999998</v>
      </c>
      <c r="R26" s="10">
        <f t="shared" si="4"/>
        <v>1.3131028708438482E-3</v>
      </c>
      <c r="S26" s="16"/>
    </row>
    <row r="27" spans="1:19" x14ac:dyDescent="0.2">
      <c r="A27" s="26" t="s">
        <v>35</v>
      </c>
      <c r="B27" s="30" t="s">
        <v>37</v>
      </c>
      <c r="C27" s="10">
        <v>51349.731</v>
      </c>
      <c r="D27" s="11"/>
      <c r="E27" s="12">
        <f t="shared" si="0"/>
        <v>17351.488642657918</v>
      </c>
      <c r="F27">
        <f t="shared" si="1"/>
        <v>17351.5</v>
      </c>
      <c r="G27" s="10">
        <f t="shared" si="5"/>
        <v>-6.15563500468852E-3</v>
      </c>
      <c r="I27" s="10">
        <f>+G27</f>
        <v>-6.15563500468852E-3</v>
      </c>
      <c r="O27" s="10">
        <f t="shared" si="2"/>
        <v>-3.150956940311312E-2</v>
      </c>
      <c r="Q27" s="14">
        <f t="shared" si="3"/>
        <v>36331.231</v>
      </c>
      <c r="R27" s="10">
        <f t="shared" si="4"/>
        <v>6.4282198947961816E-4</v>
      </c>
      <c r="S27" s="16"/>
    </row>
    <row r="28" spans="1:19" x14ac:dyDescent="0.2">
      <c r="A28" s="26" t="s">
        <v>40</v>
      </c>
      <c r="B28" s="30" t="s">
        <v>33</v>
      </c>
      <c r="C28" s="10">
        <v>52426.4162</v>
      </c>
      <c r="D28" s="11"/>
      <c r="E28" s="12">
        <f t="shared" si="0"/>
        <v>19338.007032486152</v>
      </c>
      <c r="F28">
        <f t="shared" si="1"/>
        <v>19338</v>
      </c>
      <c r="G28" s="10">
        <f t="shared" si="5"/>
        <v>3.8115799980005249E-3</v>
      </c>
      <c r="K28" s="10">
        <f>G28</f>
        <v>3.8115799980005249E-3</v>
      </c>
      <c r="O28" s="10">
        <f t="shared" si="2"/>
        <v>-3.8011303261092422E-2</v>
      </c>
      <c r="Q28" s="14">
        <f t="shared" si="3"/>
        <v>37407.9162</v>
      </c>
      <c r="R28" s="10">
        <f t="shared" si="4"/>
        <v>1.7491535641037171E-3</v>
      </c>
    </row>
    <row r="29" spans="1:19" x14ac:dyDescent="0.2">
      <c r="A29" s="29" t="s">
        <v>44</v>
      </c>
      <c r="B29" s="20" t="s">
        <v>34</v>
      </c>
      <c r="C29" s="21">
        <v>53114.851999999999</v>
      </c>
      <c r="D29" s="22">
        <v>4.0000000000000002E-4</v>
      </c>
      <c r="E29" s="12">
        <f t="shared" si="0"/>
        <v>20608.192948402997</v>
      </c>
      <c r="F29">
        <f t="shared" si="1"/>
        <v>20608</v>
      </c>
      <c r="G29" s="10">
        <f t="shared" si="5"/>
        <v>0.10457727999892086</v>
      </c>
      <c r="J29" s="10">
        <f>G29</f>
        <v>0.10457727999892086</v>
      </c>
      <c r="O29" s="10">
        <f t="shared" si="2"/>
        <v>-4.2167961705408402E-2</v>
      </c>
      <c r="Q29" s="14">
        <f t="shared" si="3"/>
        <v>38096.351999999999</v>
      </c>
      <c r="R29" s="10">
        <f t="shared" si="4"/>
        <v>2.1534165962862017E-2</v>
      </c>
    </row>
    <row r="30" spans="1:19" x14ac:dyDescent="0.2">
      <c r="A30" s="35" t="s">
        <v>56</v>
      </c>
      <c r="B30" s="20"/>
      <c r="C30" s="31">
        <v>53117.409899999999</v>
      </c>
      <c r="D30" s="31">
        <v>1.8E-3</v>
      </c>
      <c r="E30" s="12">
        <f t="shared" si="0"/>
        <v>20612.912355142631</v>
      </c>
      <c r="F30">
        <f t="shared" si="1"/>
        <v>20613</v>
      </c>
      <c r="G30" s="10">
        <f t="shared" si="5"/>
        <v>-4.7503170004347339E-2</v>
      </c>
      <c r="J30" s="10">
        <f>G30</f>
        <v>-4.7503170004347339E-2</v>
      </c>
      <c r="O30" s="10">
        <f t="shared" si="2"/>
        <v>-4.218432650243327E-2</v>
      </c>
      <c r="Q30" s="14">
        <f t="shared" si="3"/>
        <v>38098.909899999999</v>
      </c>
      <c r="R30" s="10">
        <f t="shared" si="4"/>
        <v>2.8290096197853521E-5</v>
      </c>
    </row>
    <row r="31" spans="1:19" x14ac:dyDescent="0.2">
      <c r="A31" s="31" t="s">
        <v>49</v>
      </c>
      <c r="B31" s="30" t="s">
        <v>33</v>
      </c>
      <c r="C31" s="10">
        <v>53123.380499999999</v>
      </c>
      <c r="D31" s="11">
        <v>6.9999999999999999E-4</v>
      </c>
      <c r="E31" s="12">
        <f t="shared" si="0"/>
        <v>20623.928301770586</v>
      </c>
      <c r="F31">
        <f t="shared" si="1"/>
        <v>20624</v>
      </c>
      <c r="G31" s="10">
        <f t="shared" si="5"/>
        <v>-3.8860159998876043E-2</v>
      </c>
      <c r="K31" s="10">
        <f>G31</f>
        <v>-3.8860159998876043E-2</v>
      </c>
      <c r="O31" s="10">
        <f t="shared" si="2"/>
        <v>-4.2220329055887976E-2</v>
      </c>
      <c r="Q31" s="14">
        <f t="shared" si="3"/>
        <v>38104.880499999999</v>
      </c>
      <c r="R31" s="10">
        <f t="shared" si="4"/>
        <v>1.1290736091700463E-5</v>
      </c>
      <c r="S31" s="16"/>
    </row>
    <row r="32" spans="1:19" x14ac:dyDescent="0.2">
      <c r="A32" s="27" t="s">
        <v>39</v>
      </c>
      <c r="B32" s="30" t="s">
        <v>34</v>
      </c>
      <c r="C32" s="10">
        <v>53265.59</v>
      </c>
      <c r="D32" s="11"/>
      <c r="E32" s="12">
        <f t="shared" si="0"/>
        <v>20886.309345884754</v>
      </c>
      <c r="F32">
        <f t="shared" si="1"/>
        <v>20886.5</v>
      </c>
      <c r="G32" s="10">
        <f t="shared" si="5"/>
        <v>-0.103333785009454</v>
      </c>
      <c r="K32" s="10">
        <f>G32</f>
        <v>-0.103333785009454</v>
      </c>
      <c r="O32" s="10">
        <f t="shared" si="2"/>
        <v>-4.3079480899693448E-2</v>
      </c>
      <c r="Q32" s="14">
        <f t="shared" si="3"/>
        <v>38247.089999999997</v>
      </c>
      <c r="R32" s="10">
        <f t="shared" si="4"/>
        <v>3.6305811637515079E-3</v>
      </c>
    </row>
    <row r="33" spans="1:18" x14ac:dyDescent="0.2">
      <c r="A33" s="27" t="s">
        <v>39</v>
      </c>
      <c r="B33" s="30" t="s">
        <v>34</v>
      </c>
      <c r="C33" s="10">
        <v>53266.650999999998</v>
      </c>
      <c r="D33" s="11"/>
      <c r="E33" s="12">
        <f t="shared" si="0"/>
        <v>20888.266924582418</v>
      </c>
      <c r="F33">
        <f t="shared" si="1"/>
        <v>20888.5</v>
      </c>
      <c r="G33" s="10">
        <f t="shared" si="5"/>
        <v>-0.12632596500043292</v>
      </c>
      <c r="K33" s="10">
        <f>G33</f>
        <v>-0.12632596500043292</v>
      </c>
      <c r="O33" s="10">
        <f t="shared" si="2"/>
        <v>-4.308602681850339E-2</v>
      </c>
      <c r="Q33" s="14">
        <f t="shared" si="3"/>
        <v>38248.150999999998</v>
      </c>
      <c r="R33" s="10">
        <f t="shared" si="4"/>
        <v>6.9288873085314494E-3</v>
      </c>
    </row>
    <row r="34" spans="1:18" x14ac:dyDescent="0.2">
      <c r="A34" s="27" t="s">
        <v>39</v>
      </c>
      <c r="B34" s="30" t="s">
        <v>34</v>
      </c>
      <c r="C34" s="10">
        <v>53269.638099999996</v>
      </c>
      <c r="D34" s="11"/>
      <c r="E34" s="12">
        <f t="shared" si="0"/>
        <v>20893.778218953561</v>
      </c>
      <c r="F34">
        <f t="shared" si="1"/>
        <v>20894</v>
      </c>
      <c r="G34" s="10">
        <f t="shared" si="5"/>
        <v>-0.1202044600067893</v>
      </c>
      <c r="K34" s="10">
        <f>G34</f>
        <v>-0.1202044600067893</v>
      </c>
      <c r="O34" s="10">
        <f t="shared" si="2"/>
        <v>-4.3104028095230743E-2</v>
      </c>
      <c r="Q34" s="14">
        <f t="shared" si="3"/>
        <v>38251.138099999996</v>
      </c>
      <c r="R34" s="10">
        <f t="shared" si="4"/>
        <v>5.9444766009488781E-3</v>
      </c>
    </row>
    <row r="35" spans="1:18" x14ac:dyDescent="0.2">
      <c r="A35" s="32" t="s">
        <v>55</v>
      </c>
      <c r="B35" s="5"/>
      <c r="C35" s="10">
        <v>53499.897199999999</v>
      </c>
      <c r="D35" s="11">
        <v>1E-4</v>
      </c>
      <c r="E35" s="12">
        <f t="shared" si="0"/>
        <v>21318.613571548085</v>
      </c>
      <c r="F35">
        <f t="shared" si="1"/>
        <v>21318.5</v>
      </c>
      <c r="G35" s="10">
        <f t="shared" si="5"/>
        <v>6.1555334999866318E-2</v>
      </c>
      <c r="L35" s="10">
        <f>G35</f>
        <v>6.1555334999866318E-2</v>
      </c>
      <c r="O35" s="10">
        <f t="shared" si="2"/>
        <v>-4.4493399362641878E-2</v>
      </c>
      <c r="Q35" s="14">
        <f t="shared" si="3"/>
        <v>38481.397199999999</v>
      </c>
      <c r="R35" s="10">
        <f t="shared" si="4"/>
        <v>1.1246334059889826E-2</v>
      </c>
    </row>
    <row r="36" spans="1:18" x14ac:dyDescent="0.2">
      <c r="A36" s="22" t="s">
        <v>58</v>
      </c>
      <c r="B36" s="21"/>
      <c r="C36" s="31">
        <v>53515.460400000004</v>
      </c>
      <c r="D36" s="31">
        <v>1.6000000000000001E-3</v>
      </c>
      <c r="E36" s="12">
        <f t="shared" si="0"/>
        <v>21347.328169839751</v>
      </c>
      <c r="F36">
        <f t="shared" si="1"/>
        <v>21347.5</v>
      </c>
      <c r="G36" s="10">
        <f t="shared" si="5"/>
        <v>-9.3131274996267166E-2</v>
      </c>
      <c r="J36" s="10">
        <f>G36</f>
        <v>-9.3131274996267166E-2</v>
      </c>
      <c r="O36" s="10">
        <f t="shared" si="2"/>
        <v>-4.4588315185386099E-2</v>
      </c>
      <c r="Q36" s="14">
        <f t="shared" si="3"/>
        <v>38496.960400000004</v>
      </c>
      <c r="R36" s="10">
        <f t="shared" si="4"/>
        <v>2.3564189472008146E-3</v>
      </c>
    </row>
    <row r="37" spans="1:18" x14ac:dyDescent="0.2">
      <c r="A37" s="22" t="s">
        <v>58</v>
      </c>
      <c r="B37" s="21"/>
      <c r="C37" s="31">
        <v>53518.447899999999</v>
      </c>
      <c r="D37" s="31">
        <v>1.6000000000000001E-3</v>
      </c>
      <c r="E37" s="12">
        <f t="shared" si="0"/>
        <v>21352.840202223593</v>
      </c>
      <c r="F37">
        <f t="shared" si="1"/>
        <v>21353</v>
      </c>
      <c r="G37" s="10">
        <f t="shared" si="5"/>
        <v>-8.6609770005452447E-2</v>
      </c>
      <c r="J37" s="10">
        <f>G37</f>
        <v>-8.6609770005452447E-2</v>
      </c>
      <c r="O37" s="10">
        <f t="shared" si="2"/>
        <v>-4.4606316462113452E-2</v>
      </c>
      <c r="Q37" s="14">
        <f t="shared" si="3"/>
        <v>38499.947899999999</v>
      </c>
      <c r="R37" s="10">
        <f t="shared" si="4"/>
        <v>1.7642901095674371E-3</v>
      </c>
    </row>
    <row r="38" spans="1:18" x14ac:dyDescent="0.2">
      <c r="A38" s="22" t="s">
        <v>58</v>
      </c>
      <c r="B38" s="21"/>
      <c r="C38" s="31">
        <v>53847.422400000003</v>
      </c>
      <c r="D38" s="31">
        <v>1.8E-3</v>
      </c>
      <c r="E38" s="12">
        <f t="shared" si="0"/>
        <v>21959.808603047302</v>
      </c>
      <c r="F38">
        <f t="shared" si="1"/>
        <v>21960</v>
      </c>
      <c r="G38" s="10">
        <f t="shared" si="5"/>
        <v>-0.10373640000034356</v>
      </c>
      <c r="J38" s="10">
        <f>G38</f>
        <v>-0.10373640000034356</v>
      </c>
      <c r="O38" s="10">
        <f t="shared" si="2"/>
        <v>-4.6593002820932192E-2</v>
      </c>
      <c r="Q38" s="14">
        <f t="shared" si="3"/>
        <v>38828.922400000003</v>
      </c>
      <c r="R38" s="10">
        <f t="shared" si="4"/>
        <v>3.2653678412039597E-3</v>
      </c>
    </row>
    <row r="39" spans="1:18" x14ac:dyDescent="0.2">
      <c r="D39" s="11"/>
    </row>
    <row r="40" spans="1:18" x14ac:dyDescent="0.2">
      <c r="D40" s="11"/>
    </row>
    <row r="41" spans="1:18" x14ac:dyDescent="0.2">
      <c r="D41" s="11"/>
    </row>
    <row r="42" spans="1:18" x14ac:dyDescent="0.2">
      <c r="D42" s="11"/>
    </row>
    <row r="43" spans="1:18" x14ac:dyDescent="0.2">
      <c r="D43" s="11"/>
    </row>
    <row r="44" spans="1:18" x14ac:dyDescent="0.2">
      <c r="D44" s="11"/>
    </row>
    <row r="45" spans="1:18" x14ac:dyDescent="0.2">
      <c r="D45" s="11"/>
    </row>
  </sheetData>
  <sheetProtection sheet="1" objects="1" scenarios="1"/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7"/>
  <sheetViews>
    <sheetView workbookViewId="0">
      <selection activeCell="P18" sqref="P18:Q18"/>
    </sheetView>
  </sheetViews>
  <sheetFormatPr defaultColWidth="10.28515625" defaultRowHeight="12.75" x14ac:dyDescent="0.2"/>
  <cols>
    <col min="1" max="1" width="15.7109375" customWidth="1"/>
    <col min="2" max="2" width="4.140625" customWidth="1"/>
    <col min="3" max="3" width="11.85546875" style="10" customWidth="1"/>
    <col min="4" max="4" width="11" style="10" customWidth="1"/>
    <col min="5" max="5" width="11.85546875" style="12" customWidth="1"/>
    <col min="6" max="6" width="9.140625" customWidth="1"/>
    <col min="7" max="7" width="8.140625" style="10" customWidth="1"/>
    <col min="8" max="13" width="8.5703125" style="10" customWidth="1"/>
    <col min="14" max="14" width="8" style="10" customWidth="1"/>
    <col min="15" max="15" width="7.7109375" style="10" customWidth="1"/>
    <col min="16" max="16" width="10.42578125" style="14" customWidth="1"/>
    <col min="17" max="17" width="9.140625" style="13" customWidth="1"/>
    <col min="18" max="18" width="18.7109375" style="13" bestFit="1" customWidth="1"/>
  </cols>
  <sheetData>
    <row r="1" spans="1:18" ht="20.25" x14ac:dyDescent="0.3">
      <c r="A1" s="1" t="s">
        <v>30</v>
      </c>
      <c r="B1" s="1"/>
      <c r="C1" s="17" t="s">
        <v>43</v>
      </c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29</v>
      </c>
      <c r="B2" t="s">
        <v>31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C3"/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4</v>
      </c>
      <c r="B4" s="7"/>
      <c r="C4" s="2">
        <v>41945.292000000001</v>
      </c>
      <c r="D4" s="3">
        <v>0.54200000000000004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C5"/>
      <c r="D5"/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5</v>
      </c>
      <c r="B6" s="7"/>
      <c r="C6"/>
      <c r="D6"/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6</v>
      </c>
      <c r="C7" s="10">
        <v>41945.292000000001</v>
      </c>
      <c r="D7" s="17" t="s">
        <v>47</v>
      </c>
      <c r="G7"/>
      <c r="H7"/>
      <c r="I7"/>
      <c r="J7"/>
      <c r="K7"/>
      <c r="L7"/>
      <c r="M7"/>
      <c r="N7"/>
      <c r="O7"/>
      <c r="P7">
        <v>41945.292000000001</v>
      </c>
      <c r="Q7">
        <v>41945.292000000001</v>
      </c>
      <c r="R7"/>
    </row>
    <row r="8" spans="1:18" x14ac:dyDescent="0.2">
      <c r="A8" t="s">
        <v>7</v>
      </c>
      <c r="C8" s="15">
        <v>0.49997900000000001</v>
      </c>
      <c r="D8" s="17" t="s">
        <v>48</v>
      </c>
      <c r="E8" s="15"/>
      <c r="G8"/>
      <c r="H8"/>
      <c r="I8"/>
      <c r="J8"/>
      <c r="K8"/>
      <c r="L8"/>
      <c r="M8"/>
      <c r="N8"/>
      <c r="O8"/>
      <c r="P8">
        <v>0.50358199999999997</v>
      </c>
      <c r="Q8">
        <v>0.49997900000000001</v>
      </c>
      <c r="R8"/>
    </row>
    <row r="9" spans="1:18" x14ac:dyDescent="0.2">
      <c r="A9" s="24" t="s">
        <v>46</v>
      </c>
      <c r="C9" s="25">
        <f>SUM(Q22:Q33)</f>
        <v>0.11694093283352452</v>
      </c>
      <c r="E9" s="10" t="s">
        <v>52</v>
      </c>
      <c r="F9" s="10">
        <f>SQRT(C9)/COUNT(Q21:Q34)</f>
        <v>2.6305098031501249E-2</v>
      </c>
      <c r="G9" t="s">
        <v>53</v>
      </c>
      <c r="H9"/>
      <c r="I9"/>
      <c r="J9"/>
      <c r="K9"/>
      <c r="L9"/>
      <c r="M9"/>
      <c r="N9"/>
      <c r="O9"/>
      <c r="P9">
        <v>7.2149451086189156E-2</v>
      </c>
      <c r="Q9">
        <v>7.316981367637114E-2</v>
      </c>
      <c r="R9"/>
    </row>
    <row r="10" spans="1:18" ht="13.5" thickBot="1" x14ac:dyDescent="0.25">
      <c r="C10" s="6" t="s">
        <v>24</v>
      </c>
      <c r="D10" s="6" t="s">
        <v>25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20</v>
      </c>
      <c r="C11">
        <f>INTERCEPT(G22:G994,F22:F994)</f>
        <v>1.4322943218333182</v>
      </c>
      <c r="D11" s="5"/>
      <c r="E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21</v>
      </c>
      <c r="C12">
        <f>SLOPE(G22:G994,F22:F994)</f>
        <v>-7.109237240522431E-5</v>
      </c>
      <c r="D12" s="5"/>
      <c r="E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t="s">
        <v>23</v>
      </c>
      <c r="C13" s="5" t="s">
        <v>18</v>
      </c>
      <c r="D13" s="5"/>
      <c r="E13"/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28</v>
      </c>
      <c r="C14"/>
      <c r="D14"/>
      <c r="E14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22</v>
      </c>
      <c r="B15" s="4"/>
      <c r="C15">
        <f>+D15+C8/2</f>
        <v>53123.630489499999</v>
      </c>
      <c r="D15" s="10">
        <v>53123.380499999999</v>
      </c>
      <c r="E15"/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8</v>
      </c>
      <c r="B16" s="7"/>
      <c r="C16">
        <f>+C8+C12</f>
        <v>0.49990790762759479</v>
      </c>
      <c r="D16">
        <f>+C$8+D$12+2*D$13*MAX(G21:G45)</f>
        <v>0.49997900000000001</v>
      </c>
      <c r="E16"/>
      <c r="G16"/>
      <c r="H16"/>
      <c r="I16"/>
      <c r="J16"/>
      <c r="K16"/>
      <c r="L16"/>
      <c r="M16"/>
      <c r="N16"/>
      <c r="O16"/>
      <c r="P16"/>
      <c r="Q16"/>
      <c r="R16"/>
    </row>
    <row r="17" spans="1:18" ht="13.5" thickBot="1" x14ac:dyDescent="0.25">
      <c r="C17"/>
      <c r="D17"/>
      <c r="E17"/>
      <c r="G17"/>
      <c r="H17"/>
      <c r="I17"/>
      <c r="J17"/>
      <c r="K17"/>
      <c r="L17"/>
      <c r="M17"/>
      <c r="N17"/>
      <c r="O17"/>
      <c r="P17"/>
      <c r="Q17"/>
      <c r="R17"/>
    </row>
    <row r="18" spans="1:18" ht="14.25" thickTop="1" thickBot="1" x14ac:dyDescent="0.25">
      <c r="A18" s="7" t="s">
        <v>9</v>
      </c>
      <c r="B18" s="7"/>
      <c r="C18" s="2">
        <f>+C15</f>
        <v>53123.630489499999</v>
      </c>
      <c r="D18" s="3">
        <f>+C16</f>
        <v>0.49990790762759479</v>
      </c>
      <c r="E18"/>
      <c r="G18"/>
      <c r="H18"/>
      <c r="I18"/>
      <c r="J18"/>
      <c r="K18"/>
      <c r="L18"/>
      <c r="M18"/>
      <c r="N18"/>
      <c r="O18"/>
      <c r="P18" t="s">
        <v>59</v>
      </c>
      <c r="Q18" s="10">
        <f>SUM(Q22:Q38)</f>
        <v>0.17009095112127293</v>
      </c>
      <c r="R18"/>
    </row>
    <row r="19" spans="1:18" ht="13.5" thickTop="1" x14ac:dyDescent="0.2">
      <c r="C19"/>
      <c r="D19"/>
      <c r="E19"/>
      <c r="G19"/>
      <c r="H19"/>
      <c r="I19"/>
      <c r="J19"/>
      <c r="K19"/>
      <c r="L19"/>
      <c r="M19"/>
      <c r="N19"/>
      <c r="O19"/>
      <c r="P19"/>
      <c r="Q19"/>
      <c r="R19"/>
    </row>
    <row r="20" spans="1:18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35</v>
      </c>
      <c r="J20" s="9" t="s">
        <v>38</v>
      </c>
      <c r="K20" s="9" t="s">
        <v>39</v>
      </c>
      <c r="L20" s="9" t="s">
        <v>50</v>
      </c>
      <c r="M20" s="9" t="s">
        <v>42</v>
      </c>
      <c r="N20" s="9" t="s">
        <v>27</v>
      </c>
      <c r="O20" s="8" t="s">
        <v>26</v>
      </c>
      <c r="P20" s="6" t="s">
        <v>19</v>
      </c>
      <c r="Q20" s="23" t="s">
        <v>45</v>
      </c>
      <c r="R20"/>
    </row>
    <row r="21" spans="1:18" x14ac:dyDescent="0.2">
      <c r="A21" t="s">
        <v>16</v>
      </c>
      <c r="B21" s="30"/>
      <c r="C21" s="10">
        <f>+C4</f>
        <v>41945.292000000001</v>
      </c>
      <c r="D21" s="11" t="s">
        <v>18</v>
      </c>
      <c r="E21" s="12">
        <f t="shared" ref="E21:E38" si="0">+(C21-C$7)/C$8</f>
        <v>0</v>
      </c>
      <c r="F21" s="18">
        <v>-2</v>
      </c>
      <c r="G21" s="10">
        <f t="shared" ref="G21:G38" si="1">+C21-(C$7+F21*C$8)</f>
        <v>0.99995800000033341</v>
      </c>
      <c r="H21" s="10">
        <f>+G21</f>
        <v>0.99995800000033341</v>
      </c>
      <c r="N21" s="10">
        <f t="shared" ref="N21:N38" si="2">+C$11+C$12*F21</f>
        <v>1.4324365065781286</v>
      </c>
      <c r="P21" s="14">
        <f t="shared" ref="P21:P38" si="3">+C21-15018.5</f>
        <v>26926.792000000001</v>
      </c>
    </row>
    <row r="22" spans="1:18" x14ac:dyDescent="0.2">
      <c r="A22" t="s">
        <v>32</v>
      </c>
      <c r="B22" s="30" t="s">
        <v>33</v>
      </c>
      <c r="C22" s="34">
        <v>51243.988499999999</v>
      </c>
      <c r="D22" s="11">
        <v>1.5E-3</v>
      </c>
      <c r="E22" s="12">
        <f t="shared" si="0"/>
        <v>18598.174123313176</v>
      </c>
      <c r="F22">
        <f t="shared" ref="F22:F30" si="4">ROUND(2*E22,0)/2</f>
        <v>18598</v>
      </c>
      <c r="G22" s="10">
        <f t="shared" si="1"/>
        <v>8.705799999734154E-2</v>
      </c>
      <c r="J22" s="19">
        <f>+C22-(C$7+F22*C$8)</f>
        <v>8.705799999734154E-2</v>
      </c>
      <c r="N22" s="10">
        <f t="shared" si="2"/>
        <v>0.1101183798409564</v>
      </c>
      <c r="P22" s="14">
        <f t="shared" si="3"/>
        <v>36225.488499999999</v>
      </c>
      <c r="Q22" s="10">
        <f t="shared" ref="Q22:Q38" si="5">+(N22-G22)^2</f>
        <v>5.3178111853179868E-4</v>
      </c>
    </row>
    <row r="23" spans="1:18" x14ac:dyDescent="0.2">
      <c r="A23" t="s">
        <v>35</v>
      </c>
      <c r="B23" s="30" t="s">
        <v>36</v>
      </c>
      <c r="C23" s="10">
        <v>51275.214</v>
      </c>
      <c r="D23" s="11"/>
      <c r="E23" s="12">
        <f t="shared" si="0"/>
        <v>18660.627746365346</v>
      </c>
      <c r="F23">
        <f t="shared" si="4"/>
        <v>18660.5</v>
      </c>
      <c r="G23" s="10">
        <f t="shared" si="1"/>
        <v>6.3870499994663987E-2</v>
      </c>
      <c r="I23" s="10">
        <f>+G23</f>
        <v>6.3870499994663987E-2</v>
      </c>
      <c r="N23" s="10">
        <f t="shared" si="2"/>
        <v>0.10567510656562984</v>
      </c>
      <c r="P23" s="14">
        <f t="shared" si="3"/>
        <v>36256.714</v>
      </c>
      <c r="Q23" s="10">
        <f t="shared" si="5"/>
        <v>1.7476251305532412E-3</v>
      </c>
      <c r="R23" s="16"/>
    </row>
    <row r="24" spans="1:18" x14ac:dyDescent="0.2">
      <c r="A24" s="26" t="s">
        <v>35</v>
      </c>
      <c r="B24" s="30" t="s">
        <v>34</v>
      </c>
      <c r="C24" s="10">
        <v>51275.756000000001</v>
      </c>
      <c r="D24" s="11"/>
      <c r="E24" s="12">
        <f t="shared" si="0"/>
        <v>18661.711791895261</v>
      </c>
      <c r="F24">
        <f t="shared" si="4"/>
        <v>18661.5</v>
      </c>
      <c r="G24" s="10">
        <f t="shared" si="1"/>
        <v>0.10589149999577785</v>
      </c>
      <c r="I24" s="10">
        <f>G24</f>
        <v>0.10589149999577785</v>
      </c>
      <c r="N24" s="10">
        <f t="shared" si="2"/>
        <v>0.10560401419322463</v>
      </c>
      <c r="P24" s="14">
        <f t="shared" si="3"/>
        <v>36257.256000000001</v>
      </c>
      <c r="Q24" s="10">
        <f t="shared" si="5"/>
        <v>8.264808666967033E-8</v>
      </c>
    </row>
    <row r="25" spans="1:18" x14ac:dyDescent="0.2">
      <c r="A25" s="26" t="s">
        <v>35</v>
      </c>
      <c r="B25" s="30" t="s">
        <v>33</v>
      </c>
      <c r="C25" s="10">
        <v>51275.9692</v>
      </c>
      <c r="D25" s="11"/>
      <c r="E25" s="12">
        <f t="shared" si="0"/>
        <v>18662.138209804809</v>
      </c>
      <c r="F25">
        <f t="shared" si="4"/>
        <v>18662</v>
      </c>
      <c r="G25" s="10">
        <f t="shared" si="1"/>
        <v>6.9102000001294073E-2</v>
      </c>
      <c r="I25" s="10">
        <f>G25</f>
        <v>6.9102000001294073E-2</v>
      </c>
      <c r="N25" s="10">
        <f t="shared" si="2"/>
        <v>0.10556846800702213</v>
      </c>
      <c r="P25" s="14">
        <f t="shared" si="3"/>
        <v>36257.4692</v>
      </c>
      <c r="Q25" s="10">
        <f t="shared" si="5"/>
        <v>1.3298032888127882E-3</v>
      </c>
    </row>
    <row r="26" spans="1:18" x14ac:dyDescent="0.2">
      <c r="A26" s="26" t="s">
        <v>32</v>
      </c>
      <c r="B26" s="30" t="s">
        <v>34</v>
      </c>
      <c r="C26" s="10">
        <v>51310.718399999998</v>
      </c>
      <c r="D26" s="11">
        <v>8.9999999999999998E-4</v>
      </c>
      <c r="E26" s="12">
        <f t="shared" si="0"/>
        <v>18731.639528860203</v>
      </c>
      <c r="F26">
        <f t="shared" si="4"/>
        <v>18731.5</v>
      </c>
      <c r="G26" s="10">
        <f t="shared" si="1"/>
        <v>6.9761499995365739E-2</v>
      </c>
      <c r="J26" s="10">
        <f>+G26</f>
        <v>6.9761499995365739E-2</v>
      </c>
      <c r="N26" s="10">
        <f t="shared" si="2"/>
        <v>0.10062754812485908</v>
      </c>
      <c r="P26" s="14">
        <f t="shared" si="3"/>
        <v>36292.218399999998</v>
      </c>
      <c r="Q26" s="10">
        <f t="shared" si="5"/>
        <v>9.5271292713219934E-4</v>
      </c>
      <c r="R26" s="16"/>
    </row>
    <row r="27" spans="1:18" x14ac:dyDescent="0.2">
      <c r="A27" s="26" t="s">
        <v>35</v>
      </c>
      <c r="B27" s="30" t="s">
        <v>37</v>
      </c>
      <c r="C27" s="10">
        <v>51349.731</v>
      </c>
      <c r="D27" s="11"/>
      <c r="E27" s="12">
        <f t="shared" si="0"/>
        <v>18809.66800605625</v>
      </c>
      <c r="F27">
        <f t="shared" si="4"/>
        <v>18809.5</v>
      </c>
      <c r="G27" s="10">
        <f t="shared" si="1"/>
        <v>8.399949999875389E-2</v>
      </c>
      <c r="I27" s="10">
        <f>+G27</f>
        <v>8.399949999875389E-2</v>
      </c>
      <c r="N27" s="10">
        <f t="shared" si="2"/>
        <v>9.5082343077251608E-2</v>
      </c>
      <c r="P27" s="14">
        <f t="shared" si="3"/>
        <v>36331.231</v>
      </c>
      <c r="Q27" s="10">
        <f t="shared" si="5"/>
        <v>1.2282941070260476E-4</v>
      </c>
      <c r="R27" s="16"/>
    </row>
    <row r="28" spans="1:18" x14ac:dyDescent="0.2">
      <c r="A28" s="26" t="s">
        <v>40</v>
      </c>
      <c r="B28" s="30" t="s">
        <v>33</v>
      </c>
      <c r="C28" s="10">
        <v>52426.4162</v>
      </c>
      <c r="D28" s="11">
        <v>8.9999999999999998E-4</v>
      </c>
      <c r="E28" s="12">
        <f t="shared" si="0"/>
        <v>20963.128851411755</v>
      </c>
      <c r="F28">
        <f t="shared" si="4"/>
        <v>20963</v>
      </c>
      <c r="G28" s="10">
        <f t="shared" si="1"/>
        <v>6.4422999996168073E-2</v>
      </c>
      <c r="M28" s="10">
        <f>G28</f>
        <v>6.4422999996168073E-2</v>
      </c>
      <c r="N28" s="10">
        <f t="shared" si="2"/>
        <v>-5.801508089739893E-2</v>
      </c>
      <c r="P28" s="14">
        <f t="shared" si="3"/>
        <v>37407.9162</v>
      </c>
      <c r="Q28" s="10">
        <f t="shared" si="5"/>
        <v>1.4991083652899657E-2</v>
      </c>
    </row>
    <row r="29" spans="1:18" x14ac:dyDescent="0.2">
      <c r="A29" s="29" t="s">
        <v>44</v>
      </c>
      <c r="B29" s="20" t="s">
        <v>34</v>
      </c>
      <c r="C29" s="21">
        <v>53114.851999999999</v>
      </c>
      <c r="D29" s="11">
        <v>6.9999999999999999E-4</v>
      </c>
      <c r="E29" s="12">
        <f t="shared" si="0"/>
        <v>22340.058282447859</v>
      </c>
      <c r="F29">
        <f t="shared" si="4"/>
        <v>22340</v>
      </c>
      <c r="G29" s="10">
        <f t="shared" si="1"/>
        <v>2.9139999998733401E-2</v>
      </c>
      <c r="J29" s="10">
        <f>G29</f>
        <v>2.9139999998733401E-2</v>
      </c>
      <c r="N29" s="10">
        <f t="shared" si="2"/>
        <v>-0.15590927769939289</v>
      </c>
      <c r="P29" s="14">
        <f t="shared" si="3"/>
        <v>38096.351999999999</v>
      </c>
      <c r="Q29" s="10">
        <f t="shared" si="5"/>
        <v>3.4243235176598261E-2</v>
      </c>
      <c r="R29" s="16"/>
    </row>
    <row r="30" spans="1:18" x14ac:dyDescent="0.2">
      <c r="A30" s="35" t="s">
        <v>56</v>
      </c>
      <c r="B30" s="20"/>
      <c r="C30" s="31">
        <v>53117.409899999999</v>
      </c>
      <c r="D30" s="11">
        <v>1E-3</v>
      </c>
      <c r="E30" s="12">
        <f t="shared" si="0"/>
        <v>22345.174297320482</v>
      </c>
      <c r="F30">
        <f t="shared" si="4"/>
        <v>22345</v>
      </c>
      <c r="G30" s="10">
        <f t="shared" si="1"/>
        <v>8.714499999769032E-2</v>
      </c>
      <c r="J30" s="10">
        <f>G30</f>
        <v>8.714499999769032E-2</v>
      </c>
      <c r="N30" s="10">
        <f t="shared" si="2"/>
        <v>-0.15626473956141895</v>
      </c>
      <c r="P30" s="14">
        <f t="shared" si="3"/>
        <v>38098.909899999999</v>
      </c>
      <c r="Q30" s="10">
        <f t="shared" si="5"/>
        <v>5.9248301312233409E-2</v>
      </c>
    </row>
    <row r="31" spans="1:18" x14ac:dyDescent="0.2">
      <c r="A31" s="31" t="s">
        <v>49</v>
      </c>
      <c r="B31" s="30" t="s">
        <v>33</v>
      </c>
      <c r="C31" s="10">
        <v>53123.380499999999</v>
      </c>
      <c r="D31" s="11">
        <v>8.0000000000000004E-4</v>
      </c>
      <c r="E31" s="12">
        <f t="shared" si="0"/>
        <v>22357.115998871948</v>
      </c>
      <c r="F31" s="18">
        <f t="shared" ref="F31:F38" si="6">ROUND(2*E31,0)/2+0.5</f>
        <v>22357.5</v>
      </c>
      <c r="G31" s="10">
        <f t="shared" si="1"/>
        <v>-0.19199250000383472</v>
      </c>
      <c r="K31" s="10">
        <f>G31</f>
        <v>-0.19199250000383472</v>
      </c>
      <c r="N31" s="10">
        <f t="shared" si="2"/>
        <v>-0.15715339421648444</v>
      </c>
      <c r="P31" s="14">
        <f t="shared" si="3"/>
        <v>38104.880499999999</v>
      </c>
      <c r="Q31" s="10">
        <f t="shared" si="5"/>
        <v>1.2137632920621835E-3</v>
      </c>
    </row>
    <row r="32" spans="1:18" x14ac:dyDescent="0.2">
      <c r="A32" s="27" t="s">
        <v>39</v>
      </c>
      <c r="B32" s="30" t="s">
        <v>34</v>
      </c>
      <c r="C32" s="10">
        <v>53265.59</v>
      </c>
      <c r="D32" s="11">
        <v>2.0000000000000001E-4</v>
      </c>
      <c r="E32" s="12">
        <f t="shared" si="0"/>
        <v>22641.54694497168</v>
      </c>
      <c r="F32" s="18">
        <f t="shared" si="6"/>
        <v>22642</v>
      </c>
      <c r="G32" s="10">
        <f t="shared" si="1"/>
        <v>-0.22651800000312505</v>
      </c>
      <c r="K32" s="10">
        <f>G32</f>
        <v>-0.22651800000312505</v>
      </c>
      <c r="N32" s="10">
        <f t="shared" si="2"/>
        <v>-0.17737917416577065</v>
      </c>
      <c r="P32" s="14">
        <f t="shared" si="3"/>
        <v>38247.089999999997</v>
      </c>
      <c r="Q32" s="10">
        <f t="shared" si="5"/>
        <v>2.4146242046738488E-3</v>
      </c>
    </row>
    <row r="33" spans="1:17" x14ac:dyDescent="0.2">
      <c r="A33" s="27" t="s">
        <v>39</v>
      </c>
      <c r="B33" s="30" t="s">
        <v>34</v>
      </c>
      <c r="C33" s="10">
        <v>53266.650999999998</v>
      </c>
      <c r="D33" s="33">
        <v>4.0000000000000002E-4</v>
      </c>
      <c r="E33" s="12">
        <f t="shared" si="0"/>
        <v>22643.669034099425</v>
      </c>
      <c r="F33" s="18">
        <f t="shared" si="6"/>
        <v>22644</v>
      </c>
      <c r="G33" s="10">
        <f t="shared" si="1"/>
        <v>-0.16547600000194507</v>
      </c>
      <c r="K33" s="10">
        <f>G33</f>
        <v>-0.16547600000194507</v>
      </c>
      <c r="N33" s="10">
        <f t="shared" si="2"/>
        <v>-0.17752135891058107</v>
      </c>
      <c r="P33" s="14">
        <f t="shared" si="3"/>
        <v>38248.150999999998</v>
      </c>
      <c r="Q33" s="10">
        <f t="shared" si="5"/>
        <v>1.4509067123785678E-4</v>
      </c>
    </row>
    <row r="34" spans="1:17" x14ac:dyDescent="0.2">
      <c r="A34" s="27" t="s">
        <v>39</v>
      </c>
      <c r="B34" s="30" t="s">
        <v>34</v>
      </c>
      <c r="C34" s="10">
        <v>53269.638099999996</v>
      </c>
      <c r="D34" s="11">
        <v>1E-4</v>
      </c>
      <c r="E34" s="12">
        <f t="shared" si="0"/>
        <v>22649.643485026361</v>
      </c>
      <c r="F34" s="18">
        <f t="shared" si="6"/>
        <v>22650</v>
      </c>
      <c r="G34" s="10">
        <f t="shared" si="1"/>
        <v>-0.17825000000448199</v>
      </c>
      <c r="K34" s="10">
        <f>G34</f>
        <v>-0.17825000000448199</v>
      </c>
      <c r="N34" s="10">
        <f t="shared" si="2"/>
        <v>-0.17794791314501235</v>
      </c>
      <c r="P34" s="14">
        <f t="shared" si="3"/>
        <v>38251.138099999996</v>
      </c>
      <c r="Q34" s="10">
        <f t="shared" si="5"/>
        <v>9.1256470664230814E-8</v>
      </c>
    </row>
    <row r="35" spans="1:17" x14ac:dyDescent="0.2">
      <c r="A35" s="32" t="s">
        <v>55</v>
      </c>
      <c r="B35" s="5"/>
      <c r="C35" s="10">
        <v>53499.897199999999</v>
      </c>
      <c r="D35" s="11">
        <v>1.0001</v>
      </c>
      <c r="E35" s="12">
        <f t="shared" si="0"/>
        <v>23110.181027603154</v>
      </c>
      <c r="F35" s="18">
        <f t="shared" si="6"/>
        <v>23110.5</v>
      </c>
      <c r="G35" s="10">
        <f t="shared" si="1"/>
        <v>-0.15947950000554556</v>
      </c>
      <c r="L35" s="10">
        <f>G35</f>
        <v>-0.15947950000554556</v>
      </c>
      <c r="N35" s="10">
        <f t="shared" si="2"/>
        <v>-0.21068595063761819</v>
      </c>
      <c r="P35" s="14">
        <f t="shared" si="3"/>
        <v>38481.397199999999</v>
      </c>
      <c r="Q35" s="10">
        <f t="shared" si="5"/>
        <v>2.6221005863348917E-3</v>
      </c>
    </row>
    <row r="36" spans="1:17" x14ac:dyDescent="0.2">
      <c r="A36" s="22" t="s">
        <v>58</v>
      </c>
      <c r="B36" s="21"/>
      <c r="C36" s="31">
        <v>53515.460400000004</v>
      </c>
      <c r="D36" s="11">
        <v>2.0001000000000002</v>
      </c>
      <c r="E36" s="12">
        <f t="shared" si="0"/>
        <v>23141.308734966871</v>
      </c>
      <c r="F36" s="18">
        <f t="shared" si="6"/>
        <v>23142</v>
      </c>
      <c r="G36" s="10">
        <f t="shared" si="1"/>
        <v>-0.34561799999937648</v>
      </c>
      <c r="J36" s="10">
        <f>G36</f>
        <v>-0.34561799999937648</v>
      </c>
      <c r="N36" s="10">
        <f t="shared" si="2"/>
        <v>-0.21292536036838272</v>
      </c>
      <c r="P36" s="14">
        <f t="shared" si="3"/>
        <v>38496.960400000004</v>
      </c>
      <c r="Q36" s="10">
        <f t="shared" si="5"/>
        <v>1.7607336612240777E-2</v>
      </c>
    </row>
    <row r="37" spans="1:17" x14ac:dyDescent="0.2">
      <c r="A37" s="22" t="s">
        <v>58</v>
      </c>
      <c r="B37" s="21"/>
      <c r="C37" s="31">
        <v>53518.447899999999</v>
      </c>
      <c r="D37" s="11">
        <v>3.0001000000000002</v>
      </c>
      <c r="E37" s="12">
        <f t="shared" si="0"/>
        <v>23147.283985927403</v>
      </c>
      <c r="F37" s="18">
        <f t="shared" si="6"/>
        <v>23148</v>
      </c>
      <c r="G37" s="10">
        <f t="shared" si="1"/>
        <v>-0.35799200000474229</v>
      </c>
      <c r="J37" s="10">
        <f>G37</f>
        <v>-0.35799200000474229</v>
      </c>
      <c r="N37" s="10">
        <f t="shared" si="2"/>
        <v>-0.21335191460281422</v>
      </c>
      <c r="P37" s="14">
        <f t="shared" si="3"/>
        <v>38499.947899999999</v>
      </c>
      <c r="Q37" s="10">
        <f t="shared" si="5"/>
        <v>2.0920754305077047E-2</v>
      </c>
    </row>
    <row r="38" spans="1:17" x14ac:dyDescent="0.2">
      <c r="A38" s="22" t="s">
        <v>58</v>
      </c>
      <c r="B38" s="21"/>
      <c r="C38" s="31">
        <v>53847.422400000003</v>
      </c>
      <c r="D38" s="11">
        <v>4.0000999999999998</v>
      </c>
      <c r="E38" s="12">
        <f t="shared" si="0"/>
        <v>23805.260620946083</v>
      </c>
      <c r="F38" s="18">
        <f t="shared" si="6"/>
        <v>23806</v>
      </c>
      <c r="G38" s="10">
        <f t="shared" si="1"/>
        <v>-0.36967399999412009</v>
      </c>
      <c r="J38" s="10">
        <f>G38</f>
        <v>-0.36967399999412009</v>
      </c>
      <c r="N38" s="10">
        <f t="shared" si="2"/>
        <v>-0.26013069564545166</v>
      </c>
      <c r="P38" s="14">
        <f t="shared" si="3"/>
        <v>38828.922400000003</v>
      </c>
      <c r="Q38" s="10">
        <f t="shared" si="5"/>
        <v>1.1999735527625E-2</v>
      </c>
    </row>
    <row r="39" spans="1:17" x14ac:dyDescent="0.2">
      <c r="D39" s="11"/>
    </row>
    <row r="40" spans="1:17" x14ac:dyDescent="0.2">
      <c r="D40" s="11"/>
    </row>
    <row r="41" spans="1:17" x14ac:dyDescent="0.2">
      <c r="D41" s="11"/>
    </row>
    <row r="42" spans="1:17" x14ac:dyDescent="0.2">
      <c r="D42" s="11"/>
    </row>
    <row r="43" spans="1:17" x14ac:dyDescent="0.2">
      <c r="D43" s="11"/>
    </row>
    <row r="44" spans="1:17" x14ac:dyDescent="0.2">
      <c r="D44" s="11"/>
    </row>
    <row r="45" spans="1:17" x14ac:dyDescent="0.2">
      <c r="D45" s="11"/>
    </row>
    <row r="46" spans="1:17" x14ac:dyDescent="0.2">
      <c r="D46" s="11"/>
    </row>
    <row r="47" spans="1:17" x14ac:dyDescent="0.2">
      <c r="D47" s="11"/>
    </row>
  </sheetData>
  <sheetProtection sheet="1" objects="1" scenarios="1"/>
  <phoneticPr fontId="9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7"/>
  <sheetViews>
    <sheetView workbookViewId="0">
      <selection activeCell="P18" sqref="P18:Q18"/>
    </sheetView>
  </sheetViews>
  <sheetFormatPr defaultColWidth="10.28515625" defaultRowHeight="12.75" x14ac:dyDescent="0.2"/>
  <cols>
    <col min="1" max="1" width="15.7109375" customWidth="1"/>
    <col min="2" max="2" width="4.140625" customWidth="1"/>
    <col min="3" max="3" width="11.85546875" style="10" customWidth="1"/>
    <col min="4" max="4" width="11" style="10" customWidth="1"/>
    <col min="5" max="5" width="9.140625" style="12" customWidth="1"/>
    <col min="6" max="6" width="9.140625" customWidth="1"/>
    <col min="7" max="7" width="8.140625" style="10" customWidth="1"/>
    <col min="8" max="13" width="8.5703125" style="10" customWidth="1"/>
    <col min="14" max="14" width="8" style="10" customWidth="1"/>
    <col min="15" max="15" width="7.7109375" style="10" customWidth="1"/>
    <col min="16" max="16" width="10.42578125" style="14" customWidth="1"/>
    <col min="17" max="17" width="9.140625" style="13" customWidth="1"/>
    <col min="18" max="18" width="18.7109375" style="13" bestFit="1" customWidth="1"/>
  </cols>
  <sheetData>
    <row r="1" spans="1:18" ht="20.25" x14ac:dyDescent="0.3">
      <c r="A1" s="1" t="s">
        <v>30</v>
      </c>
      <c r="B1" s="1"/>
      <c r="C1" s="17" t="s">
        <v>43</v>
      </c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29</v>
      </c>
      <c r="B2" t="s">
        <v>31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C3"/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4</v>
      </c>
      <c r="B4" s="7"/>
      <c r="C4" s="2">
        <v>41945.292000000001</v>
      </c>
      <c r="D4" s="3">
        <v>0.54200000000000004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C5"/>
      <c r="D5"/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5</v>
      </c>
      <c r="B6" s="7"/>
      <c r="C6"/>
      <c r="D6"/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6</v>
      </c>
      <c r="C7" s="10">
        <v>41945.292000000001</v>
      </c>
      <c r="D7" s="17" t="s">
        <v>47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7</v>
      </c>
      <c r="C8" s="15">
        <v>0.49996099999999999</v>
      </c>
      <c r="D8" s="17" t="s">
        <v>48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4" t="s">
        <v>46</v>
      </c>
      <c r="C9" s="25">
        <f>SUM(Q22:Q33)</f>
        <v>8.3321387934207763E-2</v>
      </c>
      <c r="E9"/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24</v>
      </c>
      <c r="D10" s="6" t="s">
        <v>25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20</v>
      </c>
      <c r="C11">
        <f>INTERCEPT(G22:G994,F22:F994)</f>
        <v>0.46717104647489299</v>
      </c>
      <c r="D11" s="5"/>
      <c r="E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21</v>
      </c>
      <c r="C12">
        <f>SLOPE(G22:G994,F22:F994)</f>
        <v>-2.9126563793800357E-5</v>
      </c>
      <c r="D12" s="5"/>
      <c r="E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t="s">
        <v>23</v>
      </c>
      <c r="C13" s="5" t="s">
        <v>18</v>
      </c>
      <c r="D13" s="5"/>
      <c r="E13"/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28</v>
      </c>
      <c r="C14"/>
      <c r="D14"/>
      <c r="E14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22</v>
      </c>
      <c r="B15" s="4"/>
      <c r="C15">
        <f>+D15+C8/2</f>
        <v>53123.630480499996</v>
      </c>
      <c r="D15" s="10">
        <v>53123.380499999999</v>
      </c>
      <c r="E15"/>
      <c r="G15"/>
      <c r="H15"/>
      <c r="I15"/>
      <c r="J15"/>
      <c r="K15"/>
      <c r="L15"/>
      <c r="M15"/>
      <c r="N15"/>
      <c r="O15"/>
      <c r="R15"/>
    </row>
    <row r="16" spans="1:18" x14ac:dyDescent="0.2">
      <c r="A16" s="7" t="s">
        <v>8</v>
      </c>
      <c r="B16" s="7"/>
      <c r="C16">
        <f>+C8+C12</f>
        <v>0.49993187343620621</v>
      </c>
      <c r="D16">
        <f>+C$8+D$12+2*D$13*MAX(G21:G45)</f>
        <v>0.49996099999999999</v>
      </c>
      <c r="E16"/>
      <c r="G16"/>
      <c r="H16"/>
      <c r="I16"/>
      <c r="J16"/>
      <c r="K16"/>
      <c r="L16"/>
      <c r="M16"/>
      <c r="N16"/>
      <c r="O16"/>
      <c r="P16"/>
      <c r="Q16"/>
      <c r="R16"/>
    </row>
    <row r="17" spans="1:18" ht="13.5" thickBot="1" x14ac:dyDescent="0.25">
      <c r="C17"/>
      <c r="D17"/>
      <c r="E17"/>
      <c r="G17"/>
      <c r="H17"/>
      <c r="I17"/>
      <c r="J17"/>
      <c r="K17"/>
      <c r="L17"/>
      <c r="M17"/>
      <c r="N17"/>
      <c r="O17"/>
      <c r="P17"/>
      <c r="Q17"/>
      <c r="R17"/>
    </row>
    <row r="18" spans="1:18" ht="14.25" thickTop="1" thickBot="1" x14ac:dyDescent="0.25">
      <c r="A18" s="7" t="s">
        <v>9</v>
      </c>
      <c r="B18" s="7"/>
      <c r="C18" s="2">
        <f>+C15</f>
        <v>53123.630480499996</v>
      </c>
      <c r="D18" s="3">
        <f>+C16</f>
        <v>0.49993187343620621</v>
      </c>
      <c r="E18"/>
      <c r="G18"/>
      <c r="H18"/>
      <c r="I18"/>
      <c r="J18"/>
      <c r="K18"/>
      <c r="L18"/>
      <c r="M18"/>
      <c r="N18"/>
      <c r="O18"/>
      <c r="P18" t="s">
        <v>59</v>
      </c>
      <c r="Q18" s="10">
        <f>SUM(Q22:Q38)</f>
        <v>9.3053665258702095E-2</v>
      </c>
      <c r="R18"/>
    </row>
    <row r="19" spans="1:18" ht="13.5" thickTop="1" x14ac:dyDescent="0.2">
      <c r="C19"/>
      <c r="D19"/>
      <c r="E19"/>
      <c r="G19"/>
      <c r="H19"/>
      <c r="I19"/>
      <c r="J19"/>
      <c r="K19"/>
      <c r="L19"/>
      <c r="M19"/>
      <c r="N19"/>
      <c r="O19"/>
      <c r="P19"/>
      <c r="Q19"/>
      <c r="R19"/>
    </row>
    <row r="20" spans="1:18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35</v>
      </c>
      <c r="J20" s="9" t="s">
        <v>38</v>
      </c>
      <c r="K20" s="9" t="s">
        <v>39</v>
      </c>
      <c r="L20" s="9" t="s">
        <v>41</v>
      </c>
      <c r="M20" s="9" t="s">
        <v>42</v>
      </c>
      <c r="N20" s="9" t="s">
        <v>27</v>
      </c>
      <c r="O20" s="8" t="s">
        <v>26</v>
      </c>
      <c r="P20" s="6" t="s">
        <v>19</v>
      </c>
      <c r="Q20" s="23" t="s">
        <v>45</v>
      </c>
      <c r="R20"/>
    </row>
    <row r="21" spans="1:18" x14ac:dyDescent="0.2">
      <c r="A21" t="s">
        <v>16</v>
      </c>
      <c r="B21" s="30"/>
      <c r="C21" s="10">
        <f>+C4</f>
        <v>41945.292000000001</v>
      </c>
      <c r="D21" s="11" t="s">
        <v>18</v>
      </c>
      <c r="E21" s="12">
        <f t="shared" ref="E21:E38" si="0">+(C21-C$7)/C$8</f>
        <v>0</v>
      </c>
      <c r="F21">
        <f t="shared" ref="F21:F30" si="1">ROUND(2*E21,0)/2</f>
        <v>0</v>
      </c>
      <c r="G21" s="10">
        <f t="shared" ref="G21:G38" si="2">+C21-(C$7+F21*C$8)</f>
        <v>0</v>
      </c>
      <c r="H21" s="10">
        <f>+G21</f>
        <v>0</v>
      </c>
      <c r="P21" s="14">
        <f t="shared" ref="P21:P38" si="3">+C21-15018.5</f>
        <v>26926.792000000001</v>
      </c>
    </row>
    <row r="22" spans="1:18" x14ac:dyDescent="0.2">
      <c r="A22" t="s">
        <v>32</v>
      </c>
      <c r="B22" s="30" t="s">
        <v>33</v>
      </c>
      <c r="C22" s="34">
        <v>51243.988499999999</v>
      </c>
      <c r="D22" s="11">
        <v>1.5E-3</v>
      </c>
      <c r="E22" s="12">
        <f t="shared" si="0"/>
        <v>18598.843709809364</v>
      </c>
      <c r="F22">
        <f t="shared" si="1"/>
        <v>18599</v>
      </c>
      <c r="G22" s="10">
        <f t="shared" si="2"/>
        <v>-7.8138999997463543E-2</v>
      </c>
      <c r="J22" s="19">
        <f>+C22-(C$7+F22*C$8)</f>
        <v>-7.8138999997463543E-2</v>
      </c>
      <c r="N22" s="10">
        <f t="shared" ref="N22:N38" si="4">+C$11+C$12*F22</f>
        <v>-7.4553913525999882E-2</v>
      </c>
      <c r="P22" s="14">
        <f t="shared" si="3"/>
        <v>36225.488499999999</v>
      </c>
      <c r="Q22" s="10">
        <f t="shared" ref="Q22:Q33" si="5">+(N22-G22)^2</f>
        <v>1.2852845007871763E-5</v>
      </c>
    </row>
    <row r="23" spans="1:18" x14ac:dyDescent="0.2">
      <c r="A23" t="s">
        <v>35</v>
      </c>
      <c r="B23" s="30" t="s">
        <v>36</v>
      </c>
      <c r="C23" s="10">
        <v>51275.214</v>
      </c>
      <c r="D23" s="11"/>
      <c r="E23" s="12">
        <f t="shared" si="0"/>
        <v>18661.299581367344</v>
      </c>
      <c r="F23">
        <f t="shared" si="1"/>
        <v>18661.5</v>
      </c>
      <c r="G23" s="10">
        <f t="shared" si="2"/>
        <v>-0.10020150000491412</v>
      </c>
      <c r="I23" s="10">
        <f>+G23</f>
        <v>-0.10020150000491412</v>
      </c>
      <c r="N23" s="10">
        <f t="shared" si="4"/>
        <v>-7.6374323763112428E-2</v>
      </c>
      <c r="P23" s="14">
        <f t="shared" si="3"/>
        <v>36256.714</v>
      </c>
      <c r="Q23" s="10">
        <f t="shared" si="5"/>
        <v>5.677343276578792E-4</v>
      </c>
      <c r="R23" s="16"/>
    </row>
    <row r="24" spans="1:18" x14ac:dyDescent="0.2">
      <c r="A24" s="26" t="s">
        <v>35</v>
      </c>
      <c r="B24" s="30" t="s">
        <v>34</v>
      </c>
      <c r="C24" s="10">
        <v>51275.756000000001</v>
      </c>
      <c r="D24" s="11"/>
      <c r="E24" s="12">
        <f t="shared" si="0"/>
        <v>18662.383665925943</v>
      </c>
      <c r="F24">
        <f t="shared" si="1"/>
        <v>18662.5</v>
      </c>
      <c r="G24" s="10">
        <f t="shared" si="2"/>
        <v>-5.8162499997706618E-2</v>
      </c>
      <c r="I24" s="10">
        <f>G24</f>
        <v>-5.8162499997706618E-2</v>
      </c>
      <c r="N24" s="10">
        <f t="shared" si="4"/>
        <v>-7.6403450326906153E-2</v>
      </c>
      <c r="P24" s="14">
        <f t="shared" si="3"/>
        <v>36257.256000000001</v>
      </c>
      <c r="Q24" s="10">
        <f t="shared" si="5"/>
        <v>3.3273226891232462E-4</v>
      </c>
    </row>
    <row r="25" spans="1:18" x14ac:dyDescent="0.2">
      <c r="A25" s="26" t="s">
        <v>35</v>
      </c>
      <c r="B25" s="30" t="s">
        <v>33</v>
      </c>
      <c r="C25" s="10">
        <v>51275.9692</v>
      </c>
      <c r="D25" s="11"/>
      <c r="E25" s="12">
        <f t="shared" si="0"/>
        <v>18662.810099187733</v>
      </c>
      <c r="F25">
        <f t="shared" si="1"/>
        <v>18663</v>
      </c>
      <c r="G25" s="10">
        <f t="shared" si="2"/>
        <v>-9.4943000003695488E-2</v>
      </c>
      <c r="I25" s="10">
        <f>G25</f>
        <v>-9.4943000003695488E-2</v>
      </c>
      <c r="N25" s="10">
        <f t="shared" si="4"/>
        <v>-7.6418013608803126E-2</v>
      </c>
      <c r="P25" s="14">
        <f t="shared" si="3"/>
        <v>36257.4692</v>
      </c>
      <c r="Q25" s="10">
        <f t="shared" si="5"/>
        <v>3.4317512093094709E-4</v>
      </c>
    </row>
    <row r="26" spans="1:18" x14ac:dyDescent="0.2">
      <c r="A26" s="26" t="s">
        <v>32</v>
      </c>
      <c r="B26" s="30" t="s">
        <v>34</v>
      </c>
      <c r="C26" s="10">
        <v>51310.718399999998</v>
      </c>
      <c r="D26" s="11">
        <v>8.9999999999999998E-4</v>
      </c>
      <c r="E26" s="12">
        <f t="shared" si="0"/>
        <v>18732.313920485791</v>
      </c>
      <c r="F26">
        <f t="shared" si="1"/>
        <v>18732.5</v>
      </c>
      <c r="G26" s="10">
        <f t="shared" si="2"/>
        <v>-9.3032500000845175E-2</v>
      </c>
      <c r="J26" s="10">
        <f>+G26</f>
        <v>-9.3032500000845175E-2</v>
      </c>
      <c r="N26" s="10">
        <f t="shared" si="4"/>
        <v>-7.8442309792472187E-2</v>
      </c>
      <c r="P26" s="14">
        <f t="shared" si="3"/>
        <v>36292.218399999998</v>
      </c>
      <c r="Q26" s="10">
        <f t="shared" si="5"/>
        <v>2.1287365031650302E-4</v>
      </c>
      <c r="R26" s="16"/>
    </row>
    <row r="27" spans="1:18" x14ac:dyDescent="0.2">
      <c r="A27" s="26" t="s">
        <v>35</v>
      </c>
      <c r="B27" s="30" t="s">
        <v>37</v>
      </c>
      <c r="C27" s="10">
        <v>51349.731</v>
      </c>
      <c r="D27" s="11"/>
      <c r="E27" s="12">
        <f t="shared" si="0"/>
        <v>18810.345206926137</v>
      </c>
      <c r="F27">
        <f t="shared" si="1"/>
        <v>18810.5</v>
      </c>
      <c r="G27" s="10">
        <f t="shared" si="2"/>
        <v>-7.7390500002366025E-2</v>
      </c>
      <c r="I27" s="10">
        <f>+G27</f>
        <v>-7.7390500002366025E-2</v>
      </c>
      <c r="N27" s="10">
        <f t="shared" si="4"/>
        <v>-8.0714181768388682E-2</v>
      </c>
      <c r="P27" s="14">
        <f t="shared" si="3"/>
        <v>36331.231</v>
      </c>
      <c r="Q27" s="10">
        <f t="shared" si="5"/>
        <v>1.1046860481791488E-5</v>
      </c>
      <c r="R27" s="16"/>
    </row>
    <row r="28" spans="1:18" x14ac:dyDescent="0.2">
      <c r="A28" s="26" t="s">
        <v>40</v>
      </c>
      <c r="B28" s="30" t="s">
        <v>33</v>
      </c>
      <c r="C28" s="10">
        <v>52426.4162</v>
      </c>
      <c r="D28" s="11">
        <v>8.9999999999999998E-4</v>
      </c>
      <c r="E28" s="12">
        <f t="shared" si="0"/>
        <v>20963.883582919465</v>
      </c>
      <c r="F28">
        <f t="shared" si="1"/>
        <v>20964</v>
      </c>
      <c r="G28" s="10">
        <f t="shared" si="2"/>
        <v>-5.8204000000841916E-2</v>
      </c>
      <c r="M28" s="10">
        <f>G28</f>
        <v>-5.8204000000841916E-2</v>
      </c>
      <c r="N28" s="10">
        <f t="shared" si="4"/>
        <v>-0.14343823689833773</v>
      </c>
      <c r="P28" s="14">
        <f t="shared" si="3"/>
        <v>37407.9162</v>
      </c>
      <c r="Q28" s="10">
        <f t="shared" si="5"/>
        <v>7.2648751394984376E-3</v>
      </c>
    </row>
    <row r="29" spans="1:18" x14ac:dyDescent="0.2">
      <c r="A29" s="29" t="s">
        <v>44</v>
      </c>
      <c r="B29" s="20" t="s">
        <v>34</v>
      </c>
      <c r="C29" s="21">
        <v>53114.851999999999</v>
      </c>
      <c r="D29" s="11">
        <v>6.9999999999999999E-4</v>
      </c>
      <c r="E29" s="12">
        <f t="shared" si="0"/>
        <v>22340.862587281805</v>
      </c>
      <c r="F29">
        <f t="shared" si="1"/>
        <v>22341</v>
      </c>
      <c r="G29" s="10">
        <f t="shared" si="2"/>
        <v>-6.8701000003784429E-2</v>
      </c>
      <c r="J29" s="10">
        <f>G29</f>
        <v>-6.8701000003784429E-2</v>
      </c>
      <c r="N29" s="10">
        <f t="shared" si="4"/>
        <v>-0.18354551524240076</v>
      </c>
      <c r="P29" s="14">
        <f t="shared" si="3"/>
        <v>38096.351999999999</v>
      </c>
      <c r="Q29" s="10">
        <f t="shared" si="5"/>
        <v>1.3189262680392779E-2</v>
      </c>
      <c r="R29" s="16"/>
    </row>
    <row r="30" spans="1:18" x14ac:dyDescent="0.2">
      <c r="A30" s="35" t="s">
        <v>56</v>
      </c>
      <c r="B30" s="20"/>
      <c r="C30" s="31">
        <v>53117.409899999999</v>
      </c>
      <c r="D30" s="11">
        <v>1E-3</v>
      </c>
      <c r="E30" s="12">
        <f t="shared" si="0"/>
        <v>22345.978786345331</v>
      </c>
      <c r="F30">
        <f t="shared" si="1"/>
        <v>22346</v>
      </c>
      <c r="G30" s="10">
        <f t="shared" si="2"/>
        <v>-1.0606000003463123E-2</v>
      </c>
      <c r="J30" s="10">
        <f>G30</f>
        <v>-1.0606000003463123E-2</v>
      </c>
      <c r="N30" s="10">
        <f t="shared" si="4"/>
        <v>-0.18369114806136982</v>
      </c>
      <c r="P30" s="14">
        <f t="shared" si="3"/>
        <v>38098.909899999999</v>
      </c>
      <c r="Q30" s="10">
        <f t="shared" si="5"/>
        <v>2.9958468478227484E-2</v>
      </c>
    </row>
    <row r="31" spans="1:18" x14ac:dyDescent="0.2">
      <c r="A31" s="31" t="s">
        <v>49</v>
      </c>
      <c r="B31" s="30" t="s">
        <v>33</v>
      </c>
      <c r="C31" s="10">
        <v>53123.380499999999</v>
      </c>
      <c r="D31" s="11">
        <v>8.0000000000000004E-4</v>
      </c>
      <c r="E31" s="12">
        <f t="shared" si="0"/>
        <v>22357.920917831587</v>
      </c>
      <c r="F31" s="18">
        <f t="shared" ref="F31:F38" si="6">ROUND(2*E31,0)/2+0.5</f>
        <v>22358.5</v>
      </c>
      <c r="G31" s="10">
        <f t="shared" si="2"/>
        <v>-0.28951850000157719</v>
      </c>
      <c r="K31" s="10">
        <f>G31</f>
        <v>-0.28951850000157719</v>
      </c>
      <c r="N31" s="10">
        <f t="shared" si="4"/>
        <v>-0.18405523010879227</v>
      </c>
      <c r="P31" s="14">
        <f t="shared" si="3"/>
        <v>38104.880499999999</v>
      </c>
      <c r="Q31" s="10">
        <f t="shared" si="5"/>
        <v>1.1122501296478396E-2</v>
      </c>
    </row>
    <row r="32" spans="1:18" x14ac:dyDescent="0.2">
      <c r="A32" s="27" t="s">
        <v>39</v>
      </c>
      <c r="B32" s="30" t="s">
        <v>34</v>
      </c>
      <c r="C32" s="10">
        <v>53265.59</v>
      </c>
      <c r="D32" s="11">
        <v>2.0000000000000001E-4</v>
      </c>
      <c r="E32" s="12">
        <f t="shared" si="0"/>
        <v>22642.362104244123</v>
      </c>
      <c r="F32" s="18">
        <f t="shared" si="6"/>
        <v>22643</v>
      </c>
      <c r="G32" s="10">
        <f t="shared" si="2"/>
        <v>-0.31892300000617979</v>
      </c>
      <c r="K32" s="10">
        <f>G32</f>
        <v>-0.31892300000617979</v>
      </c>
      <c r="N32" s="10">
        <f t="shared" si="4"/>
        <v>-0.1923417375081285</v>
      </c>
      <c r="P32" s="14">
        <f t="shared" si="3"/>
        <v>38247.089999999997</v>
      </c>
      <c r="Q32" s="10">
        <f t="shared" si="5"/>
        <v>1.6022816015600568E-2</v>
      </c>
    </row>
    <row r="33" spans="1:17" x14ac:dyDescent="0.2">
      <c r="A33" s="27" t="s">
        <v>39</v>
      </c>
      <c r="B33" s="30" t="s">
        <v>34</v>
      </c>
      <c r="C33" s="10">
        <v>53266.650999999998</v>
      </c>
      <c r="D33" s="22">
        <v>4.0000000000000002E-4</v>
      </c>
      <c r="E33" s="12">
        <f t="shared" si="0"/>
        <v>22644.484269773035</v>
      </c>
      <c r="F33" s="18">
        <f t="shared" si="6"/>
        <v>22645</v>
      </c>
      <c r="G33" s="10">
        <f t="shared" si="2"/>
        <v>-0.25784500000008848</v>
      </c>
      <c r="K33" s="10">
        <f>G33</f>
        <v>-0.25784500000008848</v>
      </c>
      <c r="N33" s="10">
        <f t="shared" si="4"/>
        <v>-0.19239999063571606</v>
      </c>
      <c r="P33" s="14">
        <f t="shared" si="3"/>
        <v>38248.150999999998</v>
      </c>
      <c r="Q33" s="10">
        <f t="shared" si="5"/>
        <v>4.2830492507027933E-3</v>
      </c>
    </row>
    <row r="34" spans="1:17" x14ac:dyDescent="0.2">
      <c r="A34" s="27" t="s">
        <v>39</v>
      </c>
      <c r="B34" s="30" t="s">
        <v>34</v>
      </c>
      <c r="C34" s="10">
        <v>53269.638099999996</v>
      </c>
      <c r="D34" s="11"/>
      <c r="E34" s="12">
        <f t="shared" si="0"/>
        <v>22650.458935796982</v>
      </c>
      <c r="F34" s="18">
        <f t="shared" si="6"/>
        <v>22651</v>
      </c>
      <c r="G34" s="10">
        <f t="shared" si="2"/>
        <v>-0.27051100000244332</v>
      </c>
      <c r="K34" s="10">
        <f>G34</f>
        <v>-0.27051100000244332</v>
      </c>
      <c r="N34" s="10">
        <f t="shared" si="4"/>
        <v>-0.19257475001847896</v>
      </c>
      <c r="P34" s="14">
        <f t="shared" si="3"/>
        <v>38251.138099999996</v>
      </c>
      <c r="Q34" s="10">
        <f>+(N34-G34)^2</f>
        <v>6.0740590615629862E-3</v>
      </c>
    </row>
    <row r="35" spans="1:17" x14ac:dyDescent="0.2">
      <c r="A35" s="32" t="s">
        <v>55</v>
      </c>
      <c r="B35" s="5"/>
      <c r="C35" s="10">
        <v>53499.897199999999</v>
      </c>
      <c r="D35" s="11"/>
      <c r="E35" s="12">
        <f t="shared" si="0"/>
        <v>23111.013059018602</v>
      </c>
      <c r="F35" s="18">
        <f t="shared" si="6"/>
        <v>23111.5</v>
      </c>
      <c r="G35" s="10">
        <f t="shared" si="2"/>
        <v>-0.2434514999986277</v>
      </c>
      <c r="J35" s="10">
        <f>G35</f>
        <v>-0.2434514999986277</v>
      </c>
      <c r="N35" s="10">
        <f t="shared" si="4"/>
        <v>-0.205987532645524</v>
      </c>
      <c r="P35" s="14">
        <f t="shared" si="3"/>
        <v>38481.397199999999</v>
      </c>
      <c r="Q35" s="10">
        <f>+(N35-G35)^2</f>
        <v>1.4035488498344198E-3</v>
      </c>
    </row>
    <row r="36" spans="1:17" x14ac:dyDescent="0.2">
      <c r="A36" s="22" t="s">
        <v>58</v>
      </c>
      <c r="B36" s="21"/>
      <c r="C36" s="31">
        <v>53515.460400000004</v>
      </c>
      <c r="D36" s="11"/>
      <c r="E36" s="12">
        <f t="shared" si="0"/>
        <v>23142.141887067195</v>
      </c>
      <c r="F36" s="18">
        <f t="shared" si="6"/>
        <v>23142.5</v>
      </c>
      <c r="G36" s="10">
        <f t="shared" si="2"/>
        <v>-0.17904249999992317</v>
      </c>
      <c r="J36" s="10">
        <f>G36</f>
        <v>-0.17904249999992317</v>
      </c>
      <c r="N36" s="10">
        <f t="shared" si="4"/>
        <v>-0.20689045612313178</v>
      </c>
      <c r="P36" s="14">
        <f t="shared" si="3"/>
        <v>38496.960400000004</v>
      </c>
      <c r="Q36" s="10">
        <f>+(N36-G36)^2</f>
        <v>7.7550866024015232E-4</v>
      </c>
    </row>
    <row r="37" spans="1:17" x14ac:dyDescent="0.2">
      <c r="A37" s="22" t="s">
        <v>58</v>
      </c>
      <c r="B37" s="21"/>
      <c r="C37" s="31">
        <v>53518.447899999999</v>
      </c>
      <c r="D37" s="11"/>
      <c r="E37" s="12">
        <f t="shared" si="0"/>
        <v>23148.117353153542</v>
      </c>
      <c r="F37" s="18">
        <f t="shared" si="6"/>
        <v>23148.5</v>
      </c>
      <c r="G37" s="10">
        <f t="shared" si="2"/>
        <v>-0.19130849999783095</v>
      </c>
      <c r="J37" s="10">
        <f>G37</f>
        <v>-0.19130849999783095</v>
      </c>
      <c r="N37" s="10">
        <f t="shared" si="4"/>
        <v>-0.20706521550589457</v>
      </c>
      <c r="P37" s="14">
        <f t="shared" si="3"/>
        <v>38499.947899999999</v>
      </c>
      <c r="Q37" s="10">
        <f>+(N37-G37)^2</f>
        <v>2.4827408360205268E-4</v>
      </c>
    </row>
    <row r="38" spans="1:17" x14ac:dyDescent="0.2">
      <c r="A38" s="22" t="s">
        <v>58</v>
      </c>
      <c r="B38" s="21"/>
      <c r="C38" s="31">
        <v>53847.422400000003</v>
      </c>
      <c r="D38" s="11"/>
      <c r="E38" s="12">
        <f t="shared" si="0"/>
        <v>23806.117677178823</v>
      </c>
      <c r="F38" s="18">
        <f t="shared" si="6"/>
        <v>23806.5</v>
      </c>
      <c r="G38" s="10">
        <f t="shared" si="2"/>
        <v>-0.19114649999391986</v>
      </c>
      <c r="J38" s="10">
        <f>G38</f>
        <v>-0.19114649999391986</v>
      </c>
      <c r="N38" s="10">
        <f t="shared" si="4"/>
        <v>-0.22623049448221516</v>
      </c>
      <c r="P38" s="14">
        <f t="shared" si="3"/>
        <v>38828.922400000003</v>
      </c>
      <c r="Q38" s="10">
        <f>+(N38-G38)^2</f>
        <v>1.230886669254735E-3</v>
      </c>
    </row>
    <row r="39" spans="1:17" x14ac:dyDescent="0.2">
      <c r="D39" s="11"/>
    </row>
    <row r="40" spans="1:17" x14ac:dyDescent="0.2">
      <c r="D40" s="11"/>
    </row>
    <row r="41" spans="1:17" x14ac:dyDescent="0.2">
      <c r="D41" s="11"/>
    </row>
    <row r="42" spans="1:17" x14ac:dyDescent="0.2">
      <c r="D42" s="11"/>
    </row>
    <row r="43" spans="1:17" x14ac:dyDescent="0.2">
      <c r="D43" s="11"/>
    </row>
    <row r="44" spans="1:17" x14ac:dyDescent="0.2">
      <c r="D44" s="11"/>
    </row>
    <row r="45" spans="1:17" x14ac:dyDescent="0.2">
      <c r="D45" s="11"/>
    </row>
    <row r="46" spans="1:17" x14ac:dyDescent="0.2">
      <c r="D46" s="11"/>
    </row>
    <row r="47" spans="1:17" x14ac:dyDescent="0.2">
      <c r="D47" s="11"/>
    </row>
  </sheetData>
  <sheetProtection sheet="1" objects="1" scenarios="1"/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7"/>
  <sheetViews>
    <sheetView workbookViewId="0"/>
  </sheetViews>
  <sheetFormatPr defaultColWidth="10.28515625" defaultRowHeight="12.75" x14ac:dyDescent="0.2"/>
  <cols>
    <col min="1" max="1" width="15.7109375" customWidth="1"/>
    <col min="2" max="2" width="4.140625" customWidth="1"/>
    <col min="3" max="3" width="11.85546875" style="10" customWidth="1"/>
    <col min="4" max="4" width="11" style="10" customWidth="1"/>
    <col min="5" max="5" width="9.140625" style="12" customWidth="1"/>
    <col min="6" max="6" width="9.140625" customWidth="1"/>
    <col min="7" max="7" width="8.140625" style="10" customWidth="1"/>
    <col min="8" max="13" width="8.5703125" style="10" customWidth="1"/>
    <col min="14" max="14" width="8" style="10" customWidth="1"/>
    <col min="15" max="15" width="7.7109375" style="10" customWidth="1"/>
    <col min="16" max="16" width="10.42578125" style="14" customWidth="1"/>
    <col min="17" max="17" width="9.140625" style="13" customWidth="1"/>
    <col min="18" max="18" width="18.7109375" style="13" bestFit="1" customWidth="1"/>
  </cols>
  <sheetData>
    <row r="1" spans="1:18" ht="20.25" x14ac:dyDescent="0.3">
      <c r="A1" s="1" t="s">
        <v>30</v>
      </c>
      <c r="B1" s="1"/>
      <c r="C1" s="17" t="s">
        <v>43</v>
      </c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29</v>
      </c>
      <c r="B2" t="s">
        <v>31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C3"/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4</v>
      </c>
      <c r="B4" s="7"/>
      <c r="C4" s="2">
        <v>41945.292000000001</v>
      </c>
      <c r="D4" s="3">
        <v>0.54200000000000004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C5"/>
      <c r="D5"/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5</v>
      </c>
      <c r="B6" s="7"/>
      <c r="C6"/>
      <c r="D6"/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6</v>
      </c>
      <c r="C7" s="10">
        <v>41945.292000000001</v>
      </c>
      <c r="D7" s="17"/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7</v>
      </c>
      <c r="C8" s="15">
        <v>0.42640800000000001</v>
      </c>
      <c r="D8" s="38" t="s">
        <v>63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4" t="s">
        <v>46</v>
      </c>
      <c r="C9" s="25"/>
      <c r="E9"/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24</v>
      </c>
      <c r="D10" s="6" t="s">
        <v>25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20</v>
      </c>
      <c r="C11">
        <f>INTERCEPT(G22:G994,F22:F994)</f>
        <v>1.4481584973394128E-2</v>
      </c>
      <c r="D11" s="5"/>
      <c r="E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21</v>
      </c>
      <c r="C12">
        <f>SLOPE(G22:G994,F22:F994)</f>
        <v>4.0920693137186883E-8</v>
      </c>
      <c r="D12" s="5"/>
      <c r="E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t="s">
        <v>23</v>
      </c>
      <c r="C13" s="5" t="s">
        <v>18</v>
      </c>
      <c r="D13" s="5"/>
      <c r="E13"/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28</v>
      </c>
      <c r="C14"/>
      <c r="D14"/>
      <c r="E14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22</v>
      </c>
      <c r="B15" s="4"/>
      <c r="C15">
        <f>+D15+C8/2</f>
        <v>53123.593703999999</v>
      </c>
      <c r="D15" s="10">
        <v>53123.380499999999</v>
      </c>
      <c r="E15"/>
      <c r="G15"/>
      <c r="H15"/>
      <c r="I15"/>
      <c r="J15"/>
      <c r="K15"/>
      <c r="L15"/>
      <c r="M15"/>
      <c r="N15"/>
      <c r="O15"/>
      <c r="R15"/>
    </row>
    <row r="16" spans="1:18" x14ac:dyDescent="0.2">
      <c r="A16" s="7" t="s">
        <v>8</v>
      </c>
      <c r="B16" s="7"/>
      <c r="C16">
        <f>+C8+C12</f>
        <v>0.42640804092069312</v>
      </c>
      <c r="D16">
        <f>+C$8+D$12+2*D$13*MAX(G21:G45)</f>
        <v>0.42640800000000001</v>
      </c>
      <c r="E16"/>
      <c r="G16"/>
      <c r="H16"/>
      <c r="I16"/>
      <c r="J16"/>
      <c r="K16"/>
      <c r="L16"/>
      <c r="M16"/>
      <c r="N16"/>
      <c r="O16"/>
      <c r="P16"/>
      <c r="Q16"/>
      <c r="R16"/>
    </row>
    <row r="17" spans="1:18" ht="13.5" thickBot="1" x14ac:dyDescent="0.25">
      <c r="C17"/>
      <c r="D17"/>
      <c r="E17"/>
      <c r="G17"/>
      <c r="H17"/>
      <c r="I17"/>
      <c r="J17"/>
      <c r="K17"/>
      <c r="L17"/>
      <c r="M17"/>
      <c r="N17"/>
      <c r="O17"/>
      <c r="P17"/>
      <c r="Q17"/>
      <c r="R17"/>
    </row>
    <row r="18" spans="1:18" ht="14.25" thickTop="1" thickBot="1" x14ac:dyDescent="0.25">
      <c r="A18" s="7" t="s">
        <v>9</v>
      </c>
      <c r="B18" s="7"/>
      <c r="C18" s="2">
        <f>+C15</f>
        <v>53123.593703999999</v>
      </c>
      <c r="D18" s="3">
        <f>+C16</f>
        <v>0.42640804092069312</v>
      </c>
      <c r="E18"/>
      <c r="G18"/>
      <c r="H18"/>
      <c r="I18"/>
      <c r="J18"/>
      <c r="K18"/>
      <c r="L18"/>
      <c r="M18"/>
      <c r="N18"/>
      <c r="O18"/>
      <c r="P18" t="s">
        <v>59</v>
      </c>
      <c r="Q18" s="10">
        <f>SUM(Q22:Q38)</f>
        <v>2.9303135985406643E-4</v>
      </c>
      <c r="R18"/>
    </row>
    <row r="19" spans="1:18" ht="13.5" thickTop="1" x14ac:dyDescent="0.2">
      <c r="C19"/>
      <c r="D19"/>
      <c r="E19"/>
      <c r="G19"/>
      <c r="H19"/>
      <c r="I19"/>
      <c r="J19"/>
      <c r="K19"/>
      <c r="L19"/>
      <c r="M19"/>
      <c r="N19"/>
      <c r="O19"/>
      <c r="P19"/>
      <c r="Q19"/>
      <c r="R19"/>
    </row>
    <row r="20" spans="1:18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35</v>
      </c>
      <c r="J20" s="9" t="s">
        <v>38</v>
      </c>
      <c r="K20" s="9" t="s">
        <v>39</v>
      </c>
      <c r="L20" s="9" t="s">
        <v>41</v>
      </c>
      <c r="M20" s="9" t="s">
        <v>42</v>
      </c>
      <c r="N20" s="9" t="s">
        <v>27</v>
      </c>
      <c r="O20" s="8" t="s">
        <v>26</v>
      </c>
      <c r="P20" s="6" t="s">
        <v>19</v>
      </c>
      <c r="Q20" s="23" t="s">
        <v>45</v>
      </c>
      <c r="R20"/>
    </row>
    <row r="21" spans="1:18" x14ac:dyDescent="0.2">
      <c r="A21" t="s">
        <v>16</v>
      </c>
      <c r="B21" s="30"/>
      <c r="C21" s="10">
        <f>+C4</f>
        <v>41945.292000000001</v>
      </c>
      <c r="D21" s="11" t="s">
        <v>18</v>
      </c>
      <c r="E21" s="12">
        <f t="shared" ref="E21:E38" si="0">+(C21-C$7)/C$8</f>
        <v>0</v>
      </c>
      <c r="F21">
        <f t="shared" ref="F21:F38" si="1">ROUND(2*E21,0)/2</f>
        <v>0</v>
      </c>
      <c r="G21" s="10">
        <f t="shared" ref="G21:G38" si="2">+C21-(C$7+F21*C$8)</f>
        <v>0</v>
      </c>
      <c r="H21" s="10">
        <f>+G21</f>
        <v>0</v>
      </c>
      <c r="P21" s="14">
        <f t="shared" ref="P21:P38" si="3">+C21-15018.5</f>
        <v>26926.792000000001</v>
      </c>
    </row>
    <row r="22" spans="1:18" x14ac:dyDescent="0.2">
      <c r="A22" t="s">
        <v>32</v>
      </c>
      <c r="B22" s="30" t="s">
        <v>33</v>
      </c>
      <c r="C22" s="34">
        <v>51243.988499999999</v>
      </c>
      <c r="D22" s="11">
        <v>1.5E-3</v>
      </c>
      <c r="E22" s="12">
        <f t="shared" si="0"/>
        <v>21807.040440141831</v>
      </c>
      <c r="F22">
        <f t="shared" si="1"/>
        <v>21807</v>
      </c>
      <c r="G22" s="10">
        <f t="shared" si="2"/>
        <v>1.724399999511661E-2</v>
      </c>
      <c r="J22" s="19">
        <f>+C22-(C$7+F22*C$8)</f>
        <v>1.724399999511661E-2</v>
      </c>
      <c r="N22" s="10">
        <f t="shared" ref="N22:N38" si="4">+C$11+C$12*F22</f>
        <v>1.5373942528636763E-2</v>
      </c>
      <c r="P22" s="14">
        <f t="shared" si="3"/>
        <v>36225.488499999999</v>
      </c>
      <c r="Q22" s="10">
        <f t="shared" ref="Q22:Q38" si="5">+(N22-G22)^2</f>
        <v>3.4971149279370255E-6</v>
      </c>
    </row>
    <row r="23" spans="1:18" x14ac:dyDescent="0.2">
      <c r="A23" t="s">
        <v>35</v>
      </c>
      <c r="B23" s="30" t="s">
        <v>36</v>
      </c>
      <c r="C23" s="10">
        <v>51275.214</v>
      </c>
      <c r="D23" s="11"/>
      <c r="E23" s="12">
        <f t="shared" si="0"/>
        <v>21880.269600945569</v>
      </c>
      <c r="F23">
        <f t="shared" si="1"/>
        <v>21880.5</v>
      </c>
      <c r="I23" s="10">
        <v>-9.8244000000704546E-2</v>
      </c>
      <c r="N23" s="10">
        <f t="shared" si="4"/>
        <v>1.5376950199582346E-2</v>
      </c>
      <c r="P23" s="14">
        <f t="shared" si="3"/>
        <v>36256.714</v>
      </c>
      <c r="Q23" s="10">
        <f t="shared" si="5"/>
        <v>2.3645059744043553E-4</v>
      </c>
      <c r="R23" s="16"/>
    </row>
    <row r="24" spans="1:18" x14ac:dyDescent="0.2">
      <c r="A24" s="26" t="s">
        <v>35</v>
      </c>
      <c r="B24" s="30" t="s">
        <v>34</v>
      </c>
      <c r="C24" s="10">
        <v>51275.756000000001</v>
      </c>
      <c r="D24" s="11"/>
      <c r="E24" s="12">
        <f t="shared" si="0"/>
        <v>21881.540684039697</v>
      </c>
      <c r="F24">
        <f t="shared" si="1"/>
        <v>21881.5</v>
      </c>
      <c r="G24" s="10">
        <f t="shared" si="2"/>
        <v>1.7348000001220498E-2</v>
      </c>
      <c r="I24" s="10">
        <f>G24</f>
        <v>1.7348000001220498E-2</v>
      </c>
      <c r="N24" s="10">
        <f t="shared" si="4"/>
        <v>1.5376991120275484E-2</v>
      </c>
      <c r="P24" s="14">
        <f t="shared" si="3"/>
        <v>36257.256000000001</v>
      </c>
      <c r="Q24" s="10">
        <f t="shared" si="5"/>
        <v>3.8848760087641187E-6</v>
      </c>
    </row>
    <row r="25" spans="1:18" x14ac:dyDescent="0.2">
      <c r="A25" s="26" t="s">
        <v>35</v>
      </c>
      <c r="B25" s="30" t="s">
        <v>33</v>
      </c>
      <c r="C25" s="10">
        <v>51275.9692</v>
      </c>
      <c r="D25" s="11"/>
      <c r="E25" s="12">
        <f t="shared" si="0"/>
        <v>21882.040674659009</v>
      </c>
      <c r="F25">
        <f t="shared" si="1"/>
        <v>21882</v>
      </c>
      <c r="G25" s="10">
        <f t="shared" si="2"/>
        <v>1.7343999999866355E-2</v>
      </c>
      <c r="I25" s="10">
        <f>G25</f>
        <v>1.7343999999866355E-2</v>
      </c>
      <c r="N25" s="10">
        <f t="shared" si="4"/>
        <v>1.5377011580622052E-2</v>
      </c>
      <c r="P25" s="14">
        <f t="shared" si="3"/>
        <v>36257.4692</v>
      </c>
      <c r="Q25" s="10">
        <f t="shared" si="5"/>
        <v>3.8690434414412043E-6</v>
      </c>
    </row>
    <row r="26" spans="1:18" x14ac:dyDescent="0.2">
      <c r="A26" s="26" t="s">
        <v>32</v>
      </c>
      <c r="B26" s="30" t="s">
        <v>34</v>
      </c>
      <c r="C26" s="10">
        <v>51310.718399999998</v>
      </c>
      <c r="D26" s="11">
        <v>8.9999999999999998E-4</v>
      </c>
      <c r="E26" s="12">
        <f t="shared" si="0"/>
        <v>21963.533517194792</v>
      </c>
      <c r="F26">
        <f t="shared" si="1"/>
        <v>21963.5</v>
      </c>
      <c r="G26" s="10">
        <f t="shared" si="2"/>
        <v>1.4291999992565252E-2</v>
      </c>
      <c r="J26" s="10">
        <f>+G26</f>
        <v>1.4291999992565252E-2</v>
      </c>
      <c r="N26" s="10">
        <f t="shared" si="4"/>
        <v>1.5380346617112732E-2</v>
      </c>
      <c r="P26" s="14">
        <f t="shared" si="3"/>
        <v>36292.218399999998</v>
      </c>
      <c r="Q26" s="10">
        <f t="shared" si="5"/>
        <v>1.1844983751638937E-6</v>
      </c>
      <c r="R26" s="16"/>
    </row>
    <row r="27" spans="1:18" x14ac:dyDescent="0.2">
      <c r="A27" s="26" t="s">
        <v>35</v>
      </c>
      <c r="B27" s="30" t="s">
        <v>37</v>
      </c>
      <c r="C27" s="10">
        <v>51349.731</v>
      </c>
      <c r="D27" s="11"/>
      <c r="E27" s="12">
        <f t="shared" si="0"/>
        <v>22055.024765013786</v>
      </c>
      <c r="F27">
        <f t="shared" si="1"/>
        <v>22055</v>
      </c>
      <c r="G27" s="10">
        <f t="shared" si="2"/>
        <v>1.0559999995166436E-2</v>
      </c>
      <c r="I27" s="10">
        <f>+G27</f>
        <v>1.0559999995166436E-2</v>
      </c>
      <c r="N27" s="10">
        <f t="shared" si="4"/>
        <v>1.5384090860534785E-2</v>
      </c>
      <c r="P27" s="14">
        <f t="shared" si="3"/>
        <v>36331.231</v>
      </c>
      <c r="Q27" s="10">
        <f t="shared" si="5"/>
        <v>2.3271852677330352E-5</v>
      </c>
      <c r="R27" s="16"/>
    </row>
    <row r="28" spans="1:18" x14ac:dyDescent="0.2">
      <c r="A28" s="26" t="s">
        <v>40</v>
      </c>
      <c r="B28" s="30" t="s">
        <v>33</v>
      </c>
      <c r="C28" s="10">
        <v>52426.4162</v>
      </c>
      <c r="D28" s="11">
        <v>8.9999999999999998E-4</v>
      </c>
      <c r="E28" s="12">
        <f t="shared" si="0"/>
        <v>24580.036490872586</v>
      </c>
      <c r="F28">
        <f t="shared" si="1"/>
        <v>24580</v>
      </c>
      <c r="G28" s="10">
        <f t="shared" si="2"/>
        <v>1.5559999999823049E-2</v>
      </c>
      <c r="M28" s="10">
        <f>G28</f>
        <v>1.5559999999823049E-2</v>
      </c>
      <c r="N28" s="10">
        <f t="shared" si="4"/>
        <v>1.5487415610706181E-2</v>
      </c>
      <c r="P28" s="14">
        <f t="shared" si="3"/>
        <v>37407.9162</v>
      </c>
      <c r="Q28" s="10">
        <f t="shared" si="5"/>
        <v>5.2684935434688678E-9</v>
      </c>
    </row>
    <row r="29" spans="1:18" x14ac:dyDescent="0.2">
      <c r="A29" s="29" t="s">
        <v>44</v>
      </c>
      <c r="B29" s="20" t="s">
        <v>34</v>
      </c>
      <c r="C29" s="21">
        <v>53114.851999999999</v>
      </c>
      <c r="D29" s="11">
        <v>6.9999999999999999E-4</v>
      </c>
      <c r="E29" s="12">
        <f t="shared" si="0"/>
        <v>26194.536687867014</v>
      </c>
      <c r="F29">
        <f t="shared" si="1"/>
        <v>26194.5</v>
      </c>
      <c r="G29" s="10">
        <f t="shared" si="2"/>
        <v>1.5643999999156222E-2</v>
      </c>
      <c r="J29" s="10">
        <f>G29</f>
        <v>1.5643999999156222E-2</v>
      </c>
      <c r="N29" s="10">
        <f t="shared" si="4"/>
        <v>1.555348206977617E-2</v>
      </c>
      <c r="P29" s="14">
        <f t="shared" si="3"/>
        <v>38096.351999999999</v>
      </c>
      <c r="Q29" s="10">
        <f t="shared" si="5"/>
        <v>8.1934955392521008E-9</v>
      </c>
      <c r="R29" s="16"/>
    </row>
    <row r="30" spans="1:18" x14ac:dyDescent="0.2">
      <c r="A30" s="35" t="s">
        <v>56</v>
      </c>
      <c r="B30" s="20"/>
      <c r="C30" s="31">
        <v>53117.409899999999</v>
      </c>
      <c r="D30" s="11">
        <v>1E-3</v>
      </c>
      <c r="E30" s="12">
        <f t="shared" si="0"/>
        <v>26200.535402712889</v>
      </c>
      <c r="F30">
        <f t="shared" si="1"/>
        <v>26200.5</v>
      </c>
      <c r="G30" s="10">
        <f t="shared" si="2"/>
        <v>1.5095999995537568E-2</v>
      </c>
      <c r="J30" s="10">
        <f>G30</f>
        <v>1.5095999995537568E-2</v>
      </c>
      <c r="N30" s="10">
        <f t="shared" si="4"/>
        <v>1.5553727593934993E-2</v>
      </c>
      <c r="P30" s="14">
        <f t="shared" si="3"/>
        <v>38098.909899999999</v>
      </c>
      <c r="Q30" s="10">
        <f t="shared" si="5"/>
        <v>2.0951455433467453E-7</v>
      </c>
    </row>
    <row r="31" spans="1:18" x14ac:dyDescent="0.2">
      <c r="A31" s="31" t="s">
        <v>49</v>
      </c>
      <c r="B31" s="30" t="s">
        <v>33</v>
      </c>
      <c r="C31" s="10">
        <v>53123.380499999999</v>
      </c>
      <c r="D31" s="11">
        <v>8.0000000000000004E-4</v>
      </c>
      <c r="E31" s="12">
        <f t="shared" si="0"/>
        <v>26214.537485225414</v>
      </c>
      <c r="F31">
        <f t="shared" si="1"/>
        <v>26214.5</v>
      </c>
      <c r="G31" s="10">
        <f t="shared" si="2"/>
        <v>1.5983999997843057E-2</v>
      </c>
      <c r="K31" s="10">
        <f>G31</f>
        <v>1.5983999997843057E-2</v>
      </c>
      <c r="N31" s="10">
        <f t="shared" si="4"/>
        <v>1.5554300483638914E-2</v>
      </c>
      <c r="P31" s="14">
        <f t="shared" si="3"/>
        <v>38104.880499999999</v>
      </c>
      <c r="Q31" s="10">
        <f t="shared" si="5"/>
        <v>1.8464167250727667E-7</v>
      </c>
    </row>
    <row r="32" spans="1:18" x14ac:dyDescent="0.2">
      <c r="A32" s="27" t="s">
        <v>39</v>
      </c>
      <c r="B32" s="30" t="s">
        <v>34</v>
      </c>
      <c r="C32" s="10">
        <v>53265.59</v>
      </c>
      <c r="D32" s="11">
        <v>2.0000000000000001E-4</v>
      </c>
      <c r="E32" s="12">
        <f t="shared" si="0"/>
        <v>26548.043188683128</v>
      </c>
      <c r="F32">
        <f t="shared" si="1"/>
        <v>26548</v>
      </c>
      <c r="G32" s="10">
        <f t="shared" si="2"/>
        <v>1.8415999991702847E-2</v>
      </c>
      <c r="K32" s="10">
        <f>G32</f>
        <v>1.8415999991702847E-2</v>
      </c>
      <c r="N32" s="10">
        <f t="shared" si="4"/>
        <v>1.5567947534800165E-2</v>
      </c>
      <c r="P32" s="14">
        <f t="shared" si="3"/>
        <v>38247.089999999997</v>
      </c>
      <c r="Q32" s="10">
        <f t="shared" si="5"/>
        <v>8.1114027972694063E-6</v>
      </c>
    </row>
    <row r="33" spans="1:17" x14ac:dyDescent="0.2">
      <c r="A33" s="27" t="s">
        <v>39</v>
      </c>
      <c r="B33" s="30" t="s">
        <v>34</v>
      </c>
      <c r="C33" s="10">
        <v>53266.650999999998</v>
      </c>
      <c r="D33" s="22">
        <v>4.0000000000000002E-4</v>
      </c>
      <c r="E33" s="12">
        <f t="shared" si="0"/>
        <v>26550.531415920894</v>
      </c>
      <c r="F33">
        <f t="shared" si="1"/>
        <v>26550.5</v>
      </c>
      <c r="G33" s="10">
        <f t="shared" si="2"/>
        <v>1.3395999994827434E-2</v>
      </c>
      <c r="K33" s="10">
        <f>G33</f>
        <v>1.3395999994827434E-2</v>
      </c>
      <c r="N33" s="10">
        <f t="shared" si="4"/>
        <v>1.5568049836533008E-2</v>
      </c>
      <c r="P33" s="14">
        <f t="shared" si="3"/>
        <v>38248.150999999998</v>
      </c>
      <c r="Q33" s="10">
        <f t="shared" si="5"/>
        <v>4.7178005148532086E-6</v>
      </c>
    </row>
    <row r="34" spans="1:17" x14ac:dyDescent="0.2">
      <c r="A34" s="27" t="s">
        <v>39</v>
      </c>
      <c r="B34" s="30" t="s">
        <v>34</v>
      </c>
      <c r="C34" s="10">
        <v>53269.638099999996</v>
      </c>
      <c r="D34" s="11"/>
      <c r="E34" s="12">
        <f t="shared" si="0"/>
        <v>26557.536678486322</v>
      </c>
      <c r="F34">
        <f t="shared" si="1"/>
        <v>26557.5</v>
      </c>
      <c r="G34" s="10">
        <f t="shared" si="2"/>
        <v>1.5639999997802079E-2</v>
      </c>
      <c r="K34" s="10">
        <f>G34</f>
        <v>1.5639999997802079E-2</v>
      </c>
      <c r="N34" s="10">
        <f t="shared" si="4"/>
        <v>1.5568336281384969E-2</v>
      </c>
      <c r="P34" s="14">
        <f t="shared" si="3"/>
        <v>38251.138099999996</v>
      </c>
      <c r="Q34" s="10">
        <f t="shared" si="5"/>
        <v>5.1356882507118538E-9</v>
      </c>
    </row>
    <row r="35" spans="1:17" x14ac:dyDescent="0.2">
      <c r="A35" s="32" t="s">
        <v>55</v>
      </c>
      <c r="B35" s="5"/>
      <c r="C35" s="10">
        <v>53499.897199999999</v>
      </c>
      <c r="D35" s="11"/>
      <c r="E35" s="12">
        <f t="shared" si="0"/>
        <v>27097.533817376781</v>
      </c>
      <c r="F35">
        <f t="shared" si="1"/>
        <v>27097.5</v>
      </c>
      <c r="G35" s="10">
        <f t="shared" si="2"/>
        <v>1.4419999999518041E-2</v>
      </c>
      <c r="J35" s="10">
        <f>G35</f>
        <v>1.4419999999518041E-2</v>
      </c>
      <c r="N35" s="10">
        <f t="shared" si="4"/>
        <v>1.5590433455679049E-2</v>
      </c>
      <c r="P35" s="14">
        <f t="shared" si="3"/>
        <v>38481.397199999999</v>
      </c>
      <c r="Q35" s="10">
        <f t="shared" si="5"/>
        <v>1.3699144753010034E-6</v>
      </c>
    </row>
    <row r="36" spans="1:17" x14ac:dyDescent="0.2">
      <c r="A36" s="22" t="s">
        <v>58</v>
      </c>
      <c r="B36" s="21"/>
      <c r="C36" s="31">
        <v>53515.460400000004</v>
      </c>
      <c r="D36" s="11"/>
      <c r="E36" s="12">
        <f t="shared" si="0"/>
        <v>27134.032194517931</v>
      </c>
      <c r="F36">
        <f t="shared" si="1"/>
        <v>27134</v>
      </c>
      <c r="G36" s="10">
        <f t="shared" si="2"/>
        <v>1.3727999998081941E-2</v>
      </c>
      <c r="J36" s="10">
        <f>G36</f>
        <v>1.3727999998081941E-2</v>
      </c>
      <c r="N36" s="10">
        <f t="shared" si="4"/>
        <v>1.5591927060978557E-2</v>
      </c>
      <c r="P36" s="14">
        <f t="shared" si="3"/>
        <v>38496.960400000004</v>
      </c>
      <c r="Q36" s="10">
        <f t="shared" si="5"/>
        <v>3.4742240957984069E-6</v>
      </c>
    </row>
    <row r="37" spans="1:17" x14ac:dyDescent="0.2">
      <c r="A37" s="22" t="s">
        <v>58</v>
      </c>
      <c r="B37" s="21"/>
      <c r="C37" s="31">
        <v>53518.447899999999</v>
      </c>
      <c r="D37" s="11"/>
      <c r="E37" s="12">
        <f t="shared" si="0"/>
        <v>27141.038395152056</v>
      </c>
      <c r="F37">
        <f t="shared" si="1"/>
        <v>27141</v>
      </c>
      <c r="G37" s="10">
        <f t="shared" si="2"/>
        <v>1.6371999998227693E-2</v>
      </c>
      <c r="J37" s="10">
        <f>G37</f>
        <v>1.6371999998227693E-2</v>
      </c>
      <c r="N37" s="10">
        <f t="shared" si="4"/>
        <v>1.5592213505830517E-2</v>
      </c>
      <c r="P37" s="14">
        <f t="shared" si="3"/>
        <v>38499.947899999999</v>
      </c>
      <c r="Q37" s="10">
        <f t="shared" si="5"/>
        <v>6.0806697372509133E-7</v>
      </c>
    </row>
    <row r="38" spans="1:17" x14ac:dyDescent="0.2">
      <c r="A38" s="22" t="s">
        <v>58</v>
      </c>
      <c r="B38" s="21"/>
      <c r="C38" s="31">
        <v>53847.422400000003</v>
      </c>
      <c r="D38" s="11"/>
      <c r="E38" s="12">
        <f t="shared" si="0"/>
        <v>27912.540102437106</v>
      </c>
      <c r="F38">
        <f t="shared" si="1"/>
        <v>27912.5</v>
      </c>
      <c r="G38" s="10">
        <f t="shared" si="2"/>
        <v>1.7100000004575122E-2</v>
      </c>
      <c r="J38" s="10">
        <f>G38</f>
        <v>1.7100000004575122E-2</v>
      </c>
      <c r="N38" s="10">
        <f t="shared" si="4"/>
        <v>1.5623783820585857E-2</v>
      </c>
      <c r="P38" s="14">
        <f t="shared" si="3"/>
        <v>38828.922400000003</v>
      </c>
      <c r="Q38" s="10">
        <f t="shared" si="5"/>
        <v>2.179214221871829E-6</v>
      </c>
    </row>
    <row r="39" spans="1:17" x14ac:dyDescent="0.2">
      <c r="D39" s="11"/>
    </row>
    <row r="40" spans="1:17" x14ac:dyDescent="0.2">
      <c r="D40" s="11"/>
    </row>
    <row r="41" spans="1:17" x14ac:dyDescent="0.2">
      <c r="D41" s="11"/>
    </row>
    <row r="42" spans="1:17" x14ac:dyDescent="0.2">
      <c r="D42" s="11"/>
    </row>
    <row r="43" spans="1:17" x14ac:dyDescent="0.2">
      <c r="D43" s="11"/>
    </row>
    <row r="44" spans="1:17" x14ac:dyDescent="0.2">
      <c r="D44" s="11"/>
    </row>
    <row r="45" spans="1:17" x14ac:dyDescent="0.2">
      <c r="D45" s="11"/>
    </row>
    <row r="46" spans="1:17" x14ac:dyDescent="0.2">
      <c r="D46" s="11"/>
    </row>
    <row r="47" spans="1:17" x14ac:dyDescent="0.2">
      <c r="D47" s="11"/>
    </row>
  </sheetData>
  <sheetProtection sheet="1" objects="1" scenarios="1"/>
  <phoneticPr fontId="9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834"/>
  <sheetViews>
    <sheetView topLeftCell="A8" workbookViewId="0">
      <selection activeCell="A31" sqref="A31:D31"/>
    </sheetView>
  </sheetViews>
  <sheetFormatPr defaultRowHeight="12.75" x14ac:dyDescent="0.2"/>
  <cols>
    <col min="1" max="1" width="19.7109375" style="31" customWidth="1"/>
    <col min="2" max="2" width="4.42578125" style="22" customWidth="1"/>
    <col min="3" max="3" width="12.7109375" style="31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31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63" t="s">
        <v>83</v>
      </c>
      <c r="I1" s="64" t="s">
        <v>84</v>
      </c>
      <c r="J1" s="65" t="s">
        <v>85</v>
      </c>
    </row>
    <row r="2" spans="1:16" x14ac:dyDescent="0.2">
      <c r="I2" s="66" t="s">
        <v>86</v>
      </c>
      <c r="J2" s="67" t="s">
        <v>87</v>
      </c>
    </row>
    <row r="3" spans="1:16" x14ac:dyDescent="0.2">
      <c r="A3" s="68" t="s">
        <v>88</v>
      </c>
      <c r="I3" s="66" t="s">
        <v>89</v>
      </c>
      <c r="J3" s="67" t="s">
        <v>90</v>
      </c>
    </row>
    <row r="4" spans="1:16" x14ac:dyDescent="0.2">
      <c r="I4" s="66" t="s">
        <v>91</v>
      </c>
      <c r="J4" s="67" t="s">
        <v>90</v>
      </c>
    </row>
    <row r="5" spans="1:16" ht="13.5" thickBot="1" x14ac:dyDescent="0.25">
      <c r="I5" s="69" t="s">
        <v>92</v>
      </c>
      <c r="J5" s="70" t="s">
        <v>93</v>
      </c>
    </row>
    <row r="10" spans="1:16" ht="13.5" thickBot="1" x14ac:dyDescent="0.25"/>
    <row r="11" spans="1:16" ht="12.75" customHeight="1" thickBot="1" x14ac:dyDescent="0.25">
      <c r="A11" s="31" t="str">
        <f t="shared" ref="A11:A31" si="0">P11</f>
        <v> BBS 128 </v>
      </c>
      <c r="B11" s="5" t="str">
        <f t="shared" ref="B11:B31" si="1">IF(H11=INT(H11),"I","II")</f>
        <v>I</v>
      </c>
      <c r="C11" s="31">
        <f t="shared" ref="C11:C31" si="2">1*G11</f>
        <v>52426.4162</v>
      </c>
      <c r="D11" s="22" t="str">
        <f t="shared" ref="D11:D31" si="3">VLOOKUP(F11,I$1:J$5,2,FALSE)</f>
        <v>vis</v>
      </c>
      <c r="E11" s="71">
        <f>VLOOKUP(C11,Active!C$21:E$972,3,FALSE)</f>
        <v>49160.072981745172</v>
      </c>
      <c r="F11" s="5" t="s">
        <v>92</v>
      </c>
      <c r="G11" s="22" t="str">
        <f t="shared" ref="G11:G31" si="4">MID(I11,3,LEN(I11)-3)</f>
        <v>52426.4162</v>
      </c>
      <c r="H11" s="31">
        <f t="shared" ref="H11:H31" si="5">1*K11</f>
        <v>19338</v>
      </c>
      <c r="I11" s="72" t="s">
        <v>94</v>
      </c>
      <c r="J11" s="73" t="s">
        <v>95</v>
      </c>
      <c r="K11" s="72">
        <v>19338</v>
      </c>
      <c r="L11" s="72" t="s">
        <v>96</v>
      </c>
      <c r="M11" s="73" t="s">
        <v>97</v>
      </c>
      <c r="N11" s="73" t="s">
        <v>98</v>
      </c>
      <c r="O11" s="74" t="s">
        <v>99</v>
      </c>
      <c r="P11" s="74" t="s">
        <v>100</v>
      </c>
    </row>
    <row r="12" spans="1:16" ht="12.75" customHeight="1" thickBot="1" x14ac:dyDescent="0.25">
      <c r="A12" s="31" t="str">
        <f t="shared" si="0"/>
        <v>IBVS 5603 </v>
      </c>
      <c r="B12" s="5" t="str">
        <f t="shared" si="1"/>
        <v>I</v>
      </c>
      <c r="C12" s="31">
        <f t="shared" si="2"/>
        <v>53114.851999999999</v>
      </c>
      <c r="D12" s="22" t="str">
        <f t="shared" si="3"/>
        <v>vis</v>
      </c>
      <c r="E12" s="71">
        <f>VLOOKUP(C12,Active!C$21:E$972,3,FALSE)</f>
        <v>52389.073375734028</v>
      </c>
      <c r="F12" s="5" t="s">
        <v>92</v>
      </c>
      <c r="G12" s="22" t="str">
        <f t="shared" si="4"/>
        <v>53114.8520</v>
      </c>
      <c r="H12" s="31">
        <f t="shared" si="5"/>
        <v>20608</v>
      </c>
      <c r="I12" s="72" t="s">
        <v>101</v>
      </c>
      <c r="J12" s="73" t="s">
        <v>102</v>
      </c>
      <c r="K12" s="72">
        <v>20608</v>
      </c>
      <c r="L12" s="72" t="s">
        <v>103</v>
      </c>
      <c r="M12" s="73" t="s">
        <v>97</v>
      </c>
      <c r="N12" s="73" t="s">
        <v>98</v>
      </c>
      <c r="O12" s="74" t="s">
        <v>104</v>
      </c>
      <c r="P12" s="75" t="s">
        <v>105</v>
      </c>
    </row>
    <row r="13" spans="1:16" ht="12.75" customHeight="1" thickBot="1" x14ac:dyDescent="0.25">
      <c r="A13" s="31" t="str">
        <f t="shared" si="0"/>
        <v>BAVM 173 </v>
      </c>
      <c r="B13" s="5" t="str">
        <f t="shared" si="1"/>
        <v>I</v>
      </c>
      <c r="C13" s="31">
        <f t="shared" si="2"/>
        <v>53117.409899999999</v>
      </c>
      <c r="D13" s="22" t="str">
        <f t="shared" si="3"/>
        <v>vis</v>
      </c>
      <c r="E13" s="71">
        <f>VLOOKUP(C13,Active!C$21:E$972,3,FALSE)</f>
        <v>52401.070805425778</v>
      </c>
      <c r="F13" s="5" t="s">
        <v>92</v>
      </c>
      <c r="G13" s="22" t="str">
        <f t="shared" si="4"/>
        <v>53117.4099</v>
      </c>
      <c r="H13" s="31">
        <f t="shared" si="5"/>
        <v>20613</v>
      </c>
      <c r="I13" s="72" t="s">
        <v>106</v>
      </c>
      <c r="J13" s="73" t="s">
        <v>107</v>
      </c>
      <c r="K13" s="72">
        <v>20613</v>
      </c>
      <c r="L13" s="72" t="s">
        <v>108</v>
      </c>
      <c r="M13" s="73" t="s">
        <v>97</v>
      </c>
      <c r="N13" s="73" t="s">
        <v>109</v>
      </c>
      <c r="O13" s="74" t="s">
        <v>110</v>
      </c>
      <c r="P13" s="75" t="s">
        <v>111</v>
      </c>
    </row>
    <row r="14" spans="1:16" ht="12.75" customHeight="1" thickBot="1" x14ac:dyDescent="0.25">
      <c r="A14" s="31" t="str">
        <f t="shared" si="0"/>
        <v>IBVS 5690 </v>
      </c>
      <c r="B14" s="5" t="str">
        <f t="shared" si="1"/>
        <v>I</v>
      </c>
      <c r="C14" s="31">
        <f t="shared" si="2"/>
        <v>53265.59</v>
      </c>
      <c r="D14" s="22" t="str">
        <f t="shared" si="3"/>
        <v>vis</v>
      </c>
      <c r="E14" s="71">
        <f>VLOOKUP(C14,Active!C$21:E$972,3,FALSE)</f>
        <v>53096.086377366257</v>
      </c>
      <c r="F14" s="5" t="s">
        <v>92</v>
      </c>
      <c r="G14" s="22" t="str">
        <f t="shared" si="4"/>
        <v>53265.5900</v>
      </c>
      <c r="H14" s="31">
        <f t="shared" si="5"/>
        <v>20886</v>
      </c>
      <c r="I14" s="72" t="s">
        <v>112</v>
      </c>
      <c r="J14" s="73" t="s">
        <v>113</v>
      </c>
      <c r="K14" s="72">
        <v>20886</v>
      </c>
      <c r="L14" s="72" t="s">
        <v>114</v>
      </c>
      <c r="M14" s="73" t="s">
        <v>115</v>
      </c>
      <c r="N14" s="73" t="s">
        <v>109</v>
      </c>
      <c r="O14" s="74" t="s">
        <v>116</v>
      </c>
      <c r="P14" s="75" t="s">
        <v>117</v>
      </c>
    </row>
    <row r="15" spans="1:16" ht="12.75" customHeight="1" thickBot="1" x14ac:dyDescent="0.25">
      <c r="A15" s="31" t="str">
        <f t="shared" si="0"/>
        <v>IBVS 5690 </v>
      </c>
      <c r="B15" s="5" t="str">
        <f t="shared" si="1"/>
        <v>I</v>
      </c>
      <c r="C15" s="31">
        <f t="shared" si="2"/>
        <v>53266.650999999998</v>
      </c>
      <c r="D15" s="22" t="str">
        <f t="shared" si="3"/>
        <v>vis</v>
      </c>
      <c r="E15" s="71">
        <f>VLOOKUP(C15,Active!C$21:E$972,3,FALSE)</f>
        <v>53101.062831841788</v>
      </c>
      <c r="F15" s="5" t="s">
        <v>92</v>
      </c>
      <c r="G15" s="22" t="str">
        <f t="shared" si="4"/>
        <v>53266.6510</v>
      </c>
      <c r="H15" s="31">
        <f t="shared" si="5"/>
        <v>20888</v>
      </c>
      <c r="I15" s="72" t="s">
        <v>118</v>
      </c>
      <c r="J15" s="73" t="s">
        <v>119</v>
      </c>
      <c r="K15" s="72">
        <v>20888</v>
      </c>
      <c r="L15" s="72" t="s">
        <v>120</v>
      </c>
      <c r="M15" s="73" t="s">
        <v>115</v>
      </c>
      <c r="N15" s="73" t="s">
        <v>109</v>
      </c>
      <c r="O15" s="74" t="s">
        <v>116</v>
      </c>
      <c r="P15" s="75" t="s">
        <v>117</v>
      </c>
    </row>
    <row r="16" spans="1:16" ht="12.75" customHeight="1" thickBot="1" x14ac:dyDescent="0.25">
      <c r="A16" s="31" t="str">
        <f t="shared" si="0"/>
        <v>IBVS 5690 </v>
      </c>
      <c r="B16" s="5" t="str">
        <f t="shared" si="1"/>
        <v>II</v>
      </c>
      <c r="C16" s="31">
        <f t="shared" si="2"/>
        <v>53269.638099999996</v>
      </c>
      <c r="D16" s="22" t="str">
        <f t="shared" si="3"/>
        <v>vis</v>
      </c>
      <c r="E16" s="71">
        <f>VLOOKUP(C16,Active!C$21:E$972,3,FALSE)</f>
        <v>53115.073356972644</v>
      </c>
      <c r="F16" s="5" t="s">
        <v>92</v>
      </c>
      <c r="G16" s="22" t="str">
        <f t="shared" si="4"/>
        <v>53269.6381</v>
      </c>
      <c r="H16" s="31">
        <f t="shared" si="5"/>
        <v>20893.5</v>
      </c>
      <c r="I16" s="72" t="s">
        <v>121</v>
      </c>
      <c r="J16" s="73" t="s">
        <v>122</v>
      </c>
      <c r="K16" s="72">
        <v>20893.5</v>
      </c>
      <c r="L16" s="72" t="s">
        <v>123</v>
      </c>
      <c r="M16" s="73" t="s">
        <v>115</v>
      </c>
      <c r="N16" s="73" t="s">
        <v>109</v>
      </c>
      <c r="O16" s="74" t="s">
        <v>116</v>
      </c>
      <c r="P16" s="75" t="s">
        <v>117</v>
      </c>
    </row>
    <row r="17" spans="1:16" ht="12.75" customHeight="1" thickBot="1" x14ac:dyDescent="0.25">
      <c r="A17" s="31" t="str">
        <f t="shared" si="0"/>
        <v>IBVS 5672 </v>
      </c>
      <c r="B17" s="5" t="str">
        <f t="shared" si="1"/>
        <v>II</v>
      </c>
      <c r="C17" s="31">
        <f t="shared" si="2"/>
        <v>53499.897199999999</v>
      </c>
      <c r="D17" s="22" t="str">
        <f t="shared" si="3"/>
        <v>vis</v>
      </c>
      <c r="E17" s="71">
        <f>VLOOKUP(C17,Active!C$21:E$972,3,FALSE)</f>
        <v>54195.067634753563</v>
      </c>
      <c r="F17" s="5" t="s">
        <v>92</v>
      </c>
      <c r="G17" s="22" t="str">
        <f t="shared" si="4"/>
        <v>53499.8972</v>
      </c>
      <c r="H17" s="31">
        <f t="shared" si="5"/>
        <v>21318.5</v>
      </c>
      <c r="I17" s="72" t="s">
        <v>124</v>
      </c>
      <c r="J17" s="73" t="s">
        <v>125</v>
      </c>
      <c r="K17" s="72">
        <v>21318.5</v>
      </c>
      <c r="L17" s="72" t="s">
        <v>126</v>
      </c>
      <c r="M17" s="73" t="s">
        <v>97</v>
      </c>
      <c r="N17" s="73" t="s">
        <v>98</v>
      </c>
      <c r="O17" s="74" t="s">
        <v>127</v>
      </c>
      <c r="P17" s="75" t="s">
        <v>128</v>
      </c>
    </row>
    <row r="18" spans="1:16" ht="12.75" customHeight="1" thickBot="1" x14ac:dyDescent="0.25">
      <c r="A18" s="31" t="str">
        <f t="shared" si="0"/>
        <v>BAVM 178 </v>
      </c>
      <c r="B18" s="5" t="str">
        <f t="shared" si="1"/>
        <v>I</v>
      </c>
      <c r="C18" s="31">
        <f t="shared" si="2"/>
        <v>53515.460400000004</v>
      </c>
      <c r="D18" s="22" t="str">
        <f t="shared" si="3"/>
        <v>vis</v>
      </c>
      <c r="E18" s="71">
        <f>VLOOKUP(C18,Active!C$21:E$972,3,FALSE)</f>
        <v>54268.064389035862</v>
      </c>
      <c r="F18" s="5" t="s">
        <v>92</v>
      </c>
      <c r="G18" s="22" t="str">
        <f t="shared" si="4"/>
        <v>53515.4604</v>
      </c>
      <c r="H18" s="31">
        <f t="shared" si="5"/>
        <v>21347</v>
      </c>
      <c r="I18" s="72" t="s">
        <v>129</v>
      </c>
      <c r="J18" s="73" t="s">
        <v>130</v>
      </c>
      <c r="K18" s="72">
        <v>21347</v>
      </c>
      <c r="L18" s="72" t="s">
        <v>131</v>
      </c>
      <c r="M18" s="73" t="s">
        <v>115</v>
      </c>
      <c r="N18" s="73" t="s">
        <v>132</v>
      </c>
      <c r="O18" s="74" t="s">
        <v>110</v>
      </c>
      <c r="P18" s="75" t="s">
        <v>133</v>
      </c>
    </row>
    <row r="19" spans="1:16" ht="12.75" customHeight="1" thickBot="1" x14ac:dyDescent="0.25">
      <c r="A19" s="31" t="str">
        <f t="shared" si="0"/>
        <v>BAVM 178 </v>
      </c>
      <c r="B19" s="5" t="str">
        <f t="shared" si="1"/>
        <v>I</v>
      </c>
      <c r="C19" s="31">
        <f t="shared" si="2"/>
        <v>53518.447899999999</v>
      </c>
      <c r="D19" s="22" t="str">
        <f t="shared" si="3"/>
        <v>vis</v>
      </c>
      <c r="E19" s="71">
        <f>VLOOKUP(C19,Active!C$21:E$972,3,FALSE)</f>
        <v>54282.076790304112</v>
      </c>
      <c r="F19" s="5" t="s">
        <v>92</v>
      </c>
      <c r="G19" s="22" t="str">
        <f t="shared" si="4"/>
        <v>53518.4479</v>
      </c>
      <c r="H19" s="31">
        <f t="shared" si="5"/>
        <v>21353</v>
      </c>
      <c r="I19" s="72" t="s">
        <v>134</v>
      </c>
      <c r="J19" s="73" t="s">
        <v>135</v>
      </c>
      <c r="K19" s="72" t="s">
        <v>136</v>
      </c>
      <c r="L19" s="72" t="s">
        <v>137</v>
      </c>
      <c r="M19" s="73" t="s">
        <v>115</v>
      </c>
      <c r="N19" s="73" t="s">
        <v>132</v>
      </c>
      <c r="O19" s="74" t="s">
        <v>110</v>
      </c>
      <c r="P19" s="75" t="s">
        <v>133</v>
      </c>
    </row>
    <row r="20" spans="1:16" ht="12.75" customHeight="1" thickBot="1" x14ac:dyDescent="0.25">
      <c r="A20" s="31" t="str">
        <f t="shared" si="0"/>
        <v>BAVM 178 </v>
      </c>
      <c r="B20" s="5" t="str">
        <f t="shared" si="1"/>
        <v>II</v>
      </c>
      <c r="C20" s="31">
        <f t="shared" si="2"/>
        <v>53847.422400000003</v>
      </c>
      <c r="D20" s="22" t="str">
        <f t="shared" si="3"/>
        <v>vis</v>
      </c>
      <c r="E20" s="71">
        <f>VLOOKUP(C20,Active!C$21:E$972,3,FALSE)</f>
        <v>55825.080204874212</v>
      </c>
      <c r="F20" s="5" t="s">
        <v>92</v>
      </c>
      <c r="G20" s="22" t="str">
        <f t="shared" si="4"/>
        <v>53847.4224</v>
      </c>
      <c r="H20" s="31">
        <f t="shared" si="5"/>
        <v>21959.5</v>
      </c>
      <c r="I20" s="72" t="s">
        <v>138</v>
      </c>
      <c r="J20" s="73" t="s">
        <v>139</v>
      </c>
      <c r="K20" s="72" t="s">
        <v>140</v>
      </c>
      <c r="L20" s="72" t="s">
        <v>141</v>
      </c>
      <c r="M20" s="73" t="s">
        <v>115</v>
      </c>
      <c r="N20" s="73" t="s">
        <v>132</v>
      </c>
      <c r="O20" s="74" t="s">
        <v>110</v>
      </c>
      <c r="P20" s="75" t="s">
        <v>133</v>
      </c>
    </row>
    <row r="21" spans="1:16" ht="12.75" customHeight="1" thickBot="1" x14ac:dyDescent="0.25">
      <c r="A21" s="31" t="str">
        <f t="shared" si="0"/>
        <v>BAVM 186 </v>
      </c>
      <c r="B21" s="5" t="str">
        <f t="shared" si="1"/>
        <v>II</v>
      </c>
      <c r="C21" s="31">
        <f t="shared" si="2"/>
        <v>54222.4375</v>
      </c>
      <c r="D21" s="22" t="str">
        <f t="shared" si="3"/>
        <v>vis</v>
      </c>
      <c r="E21" s="71">
        <f>VLOOKUP(C21,Active!C$21:E$972,3,FALSE)</f>
        <v>57584.02984934616</v>
      </c>
      <c r="F21" s="5" t="s">
        <v>92</v>
      </c>
      <c r="G21" s="22" t="str">
        <f t="shared" si="4"/>
        <v>54222.4375</v>
      </c>
      <c r="H21" s="31">
        <f t="shared" si="5"/>
        <v>22651.5</v>
      </c>
      <c r="I21" s="72" t="s">
        <v>142</v>
      </c>
      <c r="J21" s="73" t="s">
        <v>143</v>
      </c>
      <c r="K21" s="72" t="s">
        <v>144</v>
      </c>
      <c r="L21" s="72" t="s">
        <v>145</v>
      </c>
      <c r="M21" s="73" t="s">
        <v>115</v>
      </c>
      <c r="N21" s="73" t="s">
        <v>109</v>
      </c>
      <c r="O21" s="74" t="s">
        <v>146</v>
      </c>
      <c r="P21" s="75" t="s">
        <v>147</v>
      </c>
    </row>
    <row r="22" spans="1:16" ht="12.75" customHeight="1" thickBot="1" x14ac:dyDescent="0.25">
      <c r="A22" s="31" t="str">
        <f t="shared" si="0"/>
        <v>IBVS 5837 </v>
      </c>
      <c r="B22" s="5" t="str">
        <f t="shared" si="1"/>
        <v>I</v>
      </c>
      <c r="C22" s="31">
        <f t="shared" si="2"/>
        <v>54297.493799999997</v>
      </c>
      <c r="D22" s="22" t="str">
        <f t="shared" si="3"/>
        <v>vis</v>
      </c>
      <c r="E22" s="71">
        <f>VLOOKUP(C22,Active!C$21:E$972,3,FALSE)</f>
        <v>57936.069679743319</v>
      </c>
      <c r="F22" s="5" t="s">
        <v>92</v>
      </c>
      <c r="G22" s="22" t="str">
        <f t="shared" si="4"/>
        <v>54297.4938</v>
      </c>
      <c r="H22" s="31">
        <f t="shared" si="5"/>
        <v>22790</v>
      </c>
      <c r="I22" s="72" t="s">
        <v>148</v>
      </c>
      <c r="J22" s="73" t="s">
        <v>149</v>
      </c>
      <c r="K22" s="72" t="s">
        <v>150</v>
      </c>
      <c r="L22" s="72" t="s">
        <v>151</v>
      </c>
      <c r="M22" s="73" t="s">
        <v>115</v>
      </c>
      <c r="N22" s="73" t="s">
        <v>92</v>
      </c>
      <c r="O22" s="74" t="s">
        <v>152</v>
      </c>
      <c r="P22" s="75" t="s">
        <v>153</v>
      </c>
    </row>
    <row r="23" spans="1:16" ht="12.75" customHeight="1" thickBot="1" x14ac:dyDescent="0.25">
      <c r="A23" s="31" t="str">
        <f t="shared" si="0"/>
        <v>BAVM 209 </v>
      </c>
      <c r="B23" s="5" t="str">
        <f t="shared" si="1"/>
        <v>I</v>
      </c>
      <c r="C23" s="31">
        <f t="shared" si="2"/>
        <v>54937.527199999997</v>
      </c>
      <c r="D23" s="22" t="str">
        <f t="shared" si="3"/>
        <v>vis</v>
      </c>
      <c r="E23" s="71">
        <f>VLOOKUP(C23,Active!C$21:E$972,3,FALSE)</f>
        <v>60938.046190502973</v>
      </c>
      <c r="F23" s="5" t="s">
        <v>92</v>
      </c>
      <c r="G23" s="22" t="str">
        <f t="shared" si="4"/>
        <v>54937.5272</v>
      </c>
      <c r="H23" s="31">
        <f t="shared" si="5"/>
        <v>23971</v>
      </c>
      <c r="I23" s="72" t="s">
        <v>154</v>
      </c>
      <c r="J23" s="73" t="s">
        <v>155</v>
      </c>
      <c r="K23" s="72" t="s">
        <v>156</v>
      </c>
      <c r="L23" s="72" t="s">
        <v>157</v>
      </c>
      <c r="M23" s="73" t="s">
        <v>115</v>
      </c>
      <c r="N23" s="73" t="s">
        <v>132</v>
      </c>
      <c r="O23" s="74" t="s">
        <v>110</v>
      </c>
      <c r="P23" s="75" t="s">
        <v>158</v>
      </c>
    </row>
    <row r="24" spans="1:16" ht="12.75" customHeight="1" thickBot="1" x14ac:dyDescent="0.25">
      <c r="A24" s="31" t="str">
        <f t="shared" si="0"/>
        <v>IBVS 5945 </v>
      </c>
      <c r="B24" s="5" t="str">
        <f t="shared" si="1"/>
        <v>II</v>
      </c>
      <c r="C24" s="31">
        <f t="shared" si="2"/>
        <v>55312.760999999999</v>
      </c>
      <c r="D24" s="22" t="str">
        <f t="shared" si="3"/>
        <v>vis</v>
      </c>
      <c r="E24" s="71">
        <f>VLOOKUP(C24,Active!C$21:E$972,3,FALSE)</f>
        <v>62698.02161310293</v>
      </c>
      <c r="F24" s="5" t="s">
        <v>92</v>
      </c>
      <c r="G24" s="22" t="str">
        <f t="shared" si="4"/>
        <v>55312.7610</v>
      </c>
      <c r="H24" s="31">
        <f t="shared" si="5"/>
        <v>24663.5</v>
      </c>
      <c r="I24" s="72" t="s">
        <v>159</v>
      </c>
      <c r="J24" s="73" t="s">
        <v>160</v>
      </c>
      <c r="K24" s="72" t="s">
        <v>161</v>
      </c>
      <c r="L24" s="72" t="s">
        <v>162</v>
      </c>
      <c r="M24" s="73" t="s">
        <v>115</v>
      </c>
      <c r="N24" s="73" t="s">
        <v>92</v>
      </c>
      <c r="O24" s="74" t="s">
        <v>152</v>
      </c>
      <c r="P24" s="75" t="s">
        <v>163</v>
      </c>
    </row>
    <row r="25" spans="1:16" ht="12.75" customHeight="1" thickBot="1" x14ac:dyDescent="0.25">
      <c r="A25" s="31" t="str">
        <f t="shared" si="0"/>
        <v>BAVM 215 </v>
      </c>
      <c r="B25" s="5" t="str">
        <f t="shared" si="1"/>
        <v>I</v>
      </c>
      <c r="C25" s="31">
        <f t="shared" si="2"/>
        <v>55388.448700000001</v>
      </c>
      <c r="D25" s="22" t="str">
        <f t="shared" si="3"/>
        <v>vis</v>
      </c>
      <c r="E25" s="71">
        <f>VLOOKUP(C25,Active!C$21:E$972,3,FALSE)</f>
        <v>63053.022926399128</v>
      </c>
      <c r="F25" s="5" t="s">
        <v>92</v>
      </c>
      <c r="G25" s="22" t="str">
        <f t="shared" si="4"/>
        <v>55388.4487</v>
      </c>
      <c r="H25" s="31">
        <f t="shared" si="5"/>
        <v>24803</v>
      </c>
      <c r="I25" s="72" t="s">
        <v>164</v>
      </c>
      <c r="J25" s="73" t="s">
        <v>165</v>
      </c>
      <c r="K25" s="72" t="s">
        <v>166</v>
      </c>
      <c r="L25" s="72" t="s">
        <v>167</v>
      </c>
      <c r="M25" s="73" t="s">
        <v>115</v>
      </c>
      <c r="N25" s="73" t="s">
        <v>132</v>
      </c>
      <c r="O25" s="74" t="s">
        <v>110</v>
      </c>
      <c r="P25" s="75" t="s">
        <v>168</v>
      </c>
    </row>
    <row r="26" spans="1:16" ht="12.75" customHeight="1" thickBot="1" x14ac:dyDescent="0.25">
      <c r="A26" s="31" t="str">
        <f t="shared" si="0"/>
        <v>IBVS 5992 </v>
      </c>
      <c r="B26" s="5" t="str">
        <f t="shared" si="1"/>
        <v>I</v>
      </c>
      <c r="C26" s="31">
        <f t="shared" si="2"/>
        <v>55726.797599999998</v>
      </c>
      <c r="D26" s="22" t="str">
        <f t="shared" si="3"/>
        <v>vis</v>
      </c>
      <c r="E26" s="71">
        <f>VLOOKUP(C26,Active!C$21:E$972,3,FALSE)</f>
        <v>64639.995497270203</v>
      </c>
      <c r="F26" s="5" t="s">
        <v>92</v>
      </c>
      <c r="G26" s="22" t="str">
        <f t="shared" si="4"/>
        <v>55726.7976</v>
      </c>
      <c r="H26" s="31">
        <f t="shared" si="5"/>
        <v>25427</v>
      </c>
      <c r="I26" s="72" t="s">
        <v>169</v>
      </c>
      <c r="J26" s="73" t="s">
        <v>170</v>
      </c>
      <c r="K26" s="72" t="s">
        <v>171</v>
      </c>
      <c r="L26" s="72" t="s">
        <v>172</v>
      </c>
      <c r="M26" s="73" t="s">
        <v>115</v>
      </c>
      <c r="N26" s="73" t="s">
        <v>92</v>
      </c>
      <c r="O26" s="74" t="s">
        <v>152</v>
      </c>
      <c r="P26" s="75" t="s">
        <v>173</v>
      </c>
    </row>
    <row r="27" spans="1:16" ht="12.75" customHeight="1" thickBot="1" x14ac:dyDescent="0.25">
      <c r="A27" s="31" t="str">
        <f t="shared" si="0"/>
        <v>BAVM 228 </v>
      </c>
      <c r="B27" s="5" t="str">
        <f t="shared" si="1"/>
        <v>II</v>
      </c>
      <c r="C27" s="31">
        <f t="shared" si="2"/>
        <v>56001.620199999998</v>
      </c>
      <c r="D27" s="22" t="str">
        <f t="shared" si="3"/>
        <v>vis</v>
      </c>
      <c r="E27" s="71">
        <f>VLOOKUP(C27,Active!C$21:E$972,3,FALSE)</f>
        <v>65929.007898538475</v>
      </c>
      <c r="F27" s="5" t="s">
        <v>92</v>
      </c>
      <c r="G27" s="22" t="str">
        <f t="shared" si="4"/>
        <v>56001.6202</v>
      </c>
      <c r="H27" s="31">
        <f t="shared" si="5"/>
        <v>25934.5</v>
      </c>
      <c r="I27" s="72" t="s">
        <v>174</v>
      </c>
      <c r="J27" s="73" t="s">
        <v>175</v>
      </c>
      <c r="K27" s="72" t="s">
        <v>176</v>
      </c>
      <c r="L27" s="72" t="s">
        <v>177</v>
      </c>
      <c r="M27" s="73" t="s">
        <v>115</v>
      </c>
      <c r="N27" s="73" t="s">
        <v>109</v>
      </c>
      <c r="O27" s="74" t="s">
        <v>146</v>
      </c>
      <c r="P27" s="75" t="s">
        <v>178</v>
      </c>
    </row>
    <row r="28" spans="1:16" ht="12.75" customHeight="1" thickBot="1" x14ac:dyDescent="0.25">
      <c r="A28" s="31" t="str">
        <f t="shared" si="0"/>
        <v>BAVM 228 </v>
      </c>
      <c r="B28" s="5" t="str">
        <f t="shared" si="1"/>
        <v>II</v>
      </c>
      <c r="C28" s="31">
        <f t="shared" si="2"/>
        <v>56006.525500000003</v>
      </c>
      <c r="D28" s="22" t="str">
        <f t="shared" si="3"/>
        <v>vis</v>
      </c>
      <c r="E28" s="71">
        <f>VLOOKUP(C28,Active!C$21:E$972,3,FALSE)</f>
        <v>65952.015440610878</v>
      </c>
      <c r="F28" s="5" t="s">
        <v>92</v>
      </c>
      <c r="G28" s="22" t="str">
        <f t="shared" si="4"/>
        <v>56006.5255</v>
      </c>
      <c r="H28" s="31">
        <f t="shared" si="5"/>
        <v>25943.5</v>
      </c>
      <c r="I28" s="72" t="s">
        <v>179</v>
      </c>
      <c r="J28" s="73" t="s">
        <v>180</v>
      </c>
      <c r="K28" s="72" t="s">
        <v>181</v>
      </c>
      <c r="L28" s="72" t="s">
        <v>182</v>
      </c>
      <c r="M28" s="73" t="s">
        <v>115</v>
      </c>
      <c r="N28" s="73" t="s">
        <v>109</v>
      </c>
      <c r="O28" s="74" t="s">
        <v>146</v>
      </c>
      <c r="P28" s="75" t="s">
        <v>178</v>
      </c>
    </row>
    <row r="29" spans="1:16" ht="12.75" customHeight="1" thickBot="1" x14ac:dyDescent="0.25">
      <c r="A29" s="31" t="str">
        <f t="shared" si="0"/>
        <v>BAVM 228 </v>
      </c>
      <c r="B29" s="5" t="str">
        <f t="shared" si="1"/>
        <v>I</v>
      </c>
      <c r="C29" s="31">
        <f t="shared" si="2"/>
        <v>56055.554799999998</v>
      </c>
      <c r="D29" s="22" t="str">
        <f t="shared" si="3"/>
        <v>vis</v>
      </c>
      <c r="E29" s="71">
        <f>VLOOKUP(C29,Active!C$21:E$972,3,FALSE)</f>
        <v>66181.979700193231</v>
      </c>
      <c r="F29" s="5" t="s">
        <v>92</v>
      </c>
      <c r="G29" s="22" t="str">
        <f t="shared" si="4"/>
        <v>56055.5548</v>
      </c>
      <c r="H29" s="31">
        <f t="shared" si="5"/>
        <v>26034</v>
      </c>
      <c r="I29" s="72" t="s">
        <v>188</v>
      </c>
      <c r="J29" s="73" t="s">
        <v>189</v>
      </c>
      <c r="K29" s="72" t="s">
        <v>190</v>
      </c>
      <c r="L29" s="72" t="s">
        <v>191</v>
      </c>
      <c r="M29" s="73" t="s">
        <v>115</v>
      </c>
      <c r="N29" s="73" t="s">
        <v>132</v>
      </c>
      <c r="O29" s="74" t="s">
        <v>110</v>
      </c>
      <c r="P29" s="75" t="s">
        <v>178</v>
      </c>
    </row>
    <row r="30" spans="1:16" ht="12.75" customHeight="1" thickBot="1" x14ac:dyDescent="0.25">
      <c r="A30" s="31" t="str">
        <f t="shared" si="0"/>
        <v>BAVM 232 </v>
      </c>
      <c r="B30" s="5" t="str">
        <f t="shared" si="1"/>
        <v>II</v>
      </c>
      <c r="C30" s="31">
        <f t="shared" si="2"/>
        <v>56489.419000000002</v>
      </c>
      <c r="D30" s="22" t="str">
        <f t="shared" si="3"/>
        <v>vis</v>
      </c>
      <c r="E30" s="71">
        <f>VLOOKUP(C30,Active!C$21:E$972,3,FALSE)</f>
        <v>68216.951839552727</v>
      </c>
      <c r="F30" s="5" t="s">
        <v>92</v>
      </c>
      <c r="G30" s="22" t="str">
        <f t="shared" si="4"/>
        <v>56489.4190</v>
      </c>
      <c r="H30" s="31">
        <f t="shared" si="5"/>
        <v>26834.5</v>
      </c>
      <c r="I30" s="72" t="s">
        <v>192</v>
      </c>
      <c r="J30" s="73" t="s">
        <v>193</v>
      </c>
      <c r="K30" s="72" t="s">
        <v>194</v>
      </c>
      <c r="L30" s="72" t="s">
        <v>195</v>
      </c>
      <c r="M30" s="73" t="s">
        <v>115</v>
      </c>
      <c r="N30" s="73" t="s">
        <v>109</v>
      </c>
      <c r="O30" s="74" t="s">
        <v>196</v>
      </c>
      <c r="P30" s="75" t="s">
        <v>197</v>
      </c>
    </row>
    <row r="31" spans="1:16" ht="12.75" customHeight="1" thickBot="1" x14ac:dyDescent="0.25">
      <c r="A31" s="31" t="str">
        <f t="shared" si="0"/>
        <v>IBVS 6050 </v>
      </c>
      <c r="B31" s="5" t="str">
        <f t="shared" si="1"/>
        <v>II</v>
      </c>
      <c r="C31" s="31">
        <f t="shared" si="2"/>
        <v>56024.852899999998</v>
      </c>
      <c r="D31" s="22" t="str">
        <f t="shared" si="3"/>
        <v>vis</v>
      </c>
      <c r="E31" s="71" t="e">
        <f>VLOOKUP(C31,Active!C$21:E$972,3,FALSE)</f>
        <v>#N/A</v>
      </c>
      <c r="F31" s="5" t="s">
        <v>92</v>
      </c>
      <c r="G31" s="22" t="str">
        <f t="shared" si="4"/>
        <v>56024.8529</v>
      </c>
      <c r="H31" s="31">
        <f t="shared" si="5"/>
        <v>25977.5</v>
      </c>
      <c r="I31" s="72" t="s">
        <v>183</v>
      </c>
      <c r="J31" s="73" t="s">
        <v>184</v>
      </c>
      <c r="K31" s="72" t="s">
        <v>185</v>
      </c>
      <c r="L31" s="72" t="s">
        <v>186</v>
      </c>
      <c r="M31" s="73" t="s">
        <v>115</v>
      </c>
      <c r="N31" s="73" t="s">
        <v>84</v>
      </c>
      <c r="O31" s="74" t="s">
        <v>127</v>
      </c>
      <c r="P31" s="75" t="s">
        <v>187</v>
      </c>
    </row>
    <row r="32" spans="1:16" x14ac:dyDescent="0.2">
      <c r="B32" s="5"/>
      <c r="E32" s="71"/>
      <c r="F32" s="5"/>
    </row>
    <row r="33" spans="2:6" x14ac:dyDescent="0.2">
      <c r="B33" s="5"/>
      <c r="E33" s="71"/>
      <c r="F33" s="5"/>
    </row>
    <row r="34" spans="2:6" x14ac:dyDescent="0.2">
      <c r="B34" s="5"/>
      <c r="E34" s="71"/>
      <c r="F34" s="5"/>
    </row>
    <row r="35" spans="2:6" x14ac:dyDescent="0.2">
      <c r="B35" s="5"/>
      <c r="E35" s="71"/>
      <c r="F35" s="5"/>
    </row>
    <row r="36" spans="2:6" x14ac:dyDescent="0.2">
      <c r="B36" s="5"/>
      <c r="E36" s="71"/>
      <c r="F36" s="5"/>
    </row>
    <row r="37" spans="2:6" x14ac:dyDescent="0.2">
      <c r="B37" s="5"/>
      <c r="E37" s="71"/>
      <c r="F37" s="5"/>
    </row>
    <row r="38" spans="2:6" x14ac:dyDescent="0.2">
      <c r="B38" s="5"/>
      <c r="E38" s="71"/>
      <c r="F38" s="5"/>
    </row>
    <row r="39" spans="2:6" x14ac:dyDescent="0.2">
      <c r="B39" s="5"/>
      <c r="E39" s="71"/>
      <c r="F39" s="5"/>
    </row>
    <row r="40" spans="2:6" x14ac:dyDescent="0.2">
      <c r="B40" s="5"/>
      <c r="E40" s="71"/>
      <c r="F40" s="5"/>
    </row>
    <row r="41" spans="2:6" x14ac:dyDescent="0.2">
      <c r="B41" s="5"/>
      <c r="E41" s="71"/>
      <c r="F41" s="5"/>
    </row>
    <row r="42" spans="2:6" x14ac:dyDescent="0.2">
      <c r="B42" s="5"/>
      <c r="E42" s="71"/>
      <c r="F42" s="5"/>
    </row>
    <row r="43" spans="2:6" x14ac:dyDescent="0.2">
      <c r="B43" s="5"/>
      <c r="E43" s="71"/>
      <c r="F43" s="5"/>
    </row>
    <row r="44" spans="2:6" x14ac:dyDescent="0.2">
      <c r="B44" s="5"/>
      <c r="E44" s="71"/>
      <c r="F44" s="5"/>
    </row>
    <row r="45" spans="2:6" x14ac:dyDescent="0.2">
      <c r="B45" s="5"/>
      <c r="E45" s="71"/>
      <c r="F45" s="5"/>
    </row>
    <row r="46" spans="2:6" x14ac:dyDescent="0.2">
      <c r="B46" s="5"/>
      <c r="E46" s="71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</sheetData>
  <phoneticPr fontId="9" type="noConversion"/>
  <hyperlinks>
    <hyperlink ref="P12" r:id="rId1" display="http://www.konkoly.hu/cgi-bin/IBVS?5603"/>
    <hyperlink ref="P13" r:id="rId2" display="http://www.bav-astro.de/sfs/BAVM_link.php?BAVMnr=173"/>
    <hyperlink ref="P14" r:id="rId3" display="http://www.konkoly.hu/cgi-bin/IBVS?5690"/>
    <hyperlink ref="P15" r:id="rId4" display="http://www.konkoly.hu/cgi-bin/IBVS?5690"/>
    <hyperlink ref="P16" r:id="rId5" display="http://www.konkoly.hu/cgi-bin/IBVS?5690"/>
    <hyperlink ref="P17" r:id="rId6" display="http://www.konkoly.hu/cgi-bin/IBVS?5672"/>
    <hyperlink ref="P18" r:id="rId7" display="http://www.bav-astro.de/sfs/BAVM_link.php?BAVMnr=178"/>
    <hyperlink ref="P19" r:id="rId8" display="http://www.bav-astro.de/sfs/BAVM_link.php?BAVMnr=178"/>
    <hyperlink ref="P20" r:id="rId9" display="http://www.bav-astro.de/sfs/BAVM_link.php?BAVMnr=178"/>
    <hyperlink ref="P21" r:id="rId10" display="http://www.bav-astro.de/sfs/BAVM_link.php?BAVMnr=186"/>
    <hyperlink ref="P22" r:id="rId11" display="http://www.konkoly.hu/cgi-bin/IBVS?5837"/>
    <hyperlink ref="P23" r:id="rId12" display="http://www.bav-astro.de/sfs/BAVM_link.php?BAVMnr=209"/>
    <hyperlink ref="P24" r:id="rId13" display="http://www.konkoly.hu/cgi-bin/IBVS?5945"/>
    <hyperlink ref="P25" r:id="rId14" display="http://www.bav-astro.de/sfs/BAVM_link.php?BAVMnr=215"/>
    <hyperlink ref="P26" r:id="rId15" display="http://www.konkoly.hu/cgi-bin/IBVS?5992"/>
    <hyperlink ref="P27" r:id="rId16" display="http://www.bav-astro.de/sfs/BAVM_link.php?BAVMnr=228"/>
    <hyperlink ref="P28" r:id="rId17" display="http://www.bav-astro.de/sfs/BAVM_link.php?BAVMnr=228"/>
    <hyperlink ref="P31" r:id="rId18" display="http://www.konkoly.hu/cgi-bin/IBVS?6050"/>
    <hyperlink ref="P29" r:id="rId19" display="http://www.bav-astro.de/sfs/BAVM_link.php?BAVMnr=228"/>
    <hyperlink ref="P30" r:id="rId20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D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1890845731</vt:i4>
  </property>
  <property fmtid="{D5CDD505-2E9C-101B-9397-08002B2CF9AE}" pid="3" name="_EmailSubject">
    <vt:lpwstr>V731 Her - recommend updated ephemeris</vt:lpwstr>
  </property>
  <property fmtid="{D5CDD505-2E9C-101B-9397-08002B2CF9AE}" pid="4" name="_AuthorEmail">
    <vt:lpwstr>tkrajci@san.osd.mil</vt:lpwstr>
  </property>
  <property fmtid="{D5CDD505-2E9C-101B-9397-08002B2CF9AE}" pid="5" name="_AuthorEmailDisplayName">
    <vt:lpwstr>Tom Krajci</vt:lpwstr>
  </property>
  <property fmtid="{D5CDD505-2E9C-101B-9397-08002B2CF9AE}" pid="6" name="_ReviewingToolsShownOnce">
    <vt:lpwstr/>
  </property>
</Properties>
</file>