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 codeName="ThisWorkbook"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D8E9C6C0-E326-4B57-B166-AF2A4760E0B6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5" r:id="rId1"/>
    <sheet name="A (old)" sheetId="1" r:id="rId2"/>
    <sheet name="B" sheetId="2" r:id="rId3"/>
    <sheet name="C" sheetId="3" r:id="rId4"/>
    <sheet name="D" sheetId="4" r:id="rId5"/>
    <sheet name="BAV" sheetId="6" r:id="rId6"/>
  </sheets>
  <calcPr calcId="181029"/>
</workbook>
</file>

<file path=xl/calcChain.xml><?xml version="1.0" encoding="utf-8"?>
<calcChain xmlns="http://schemas.openxmlformats.org/spreadsheetml/2006/main">
  <c r="E40" i="5" l="1"/>
  <c r="F40" i="5"/>
  <c r="G40" i="5"/>
  <c r="J40" i="5"/>
  <c r="E41" i="5"/>
  <c r="F41" i="5"/>
  <c r="G41" i="5"/>
  <c r="J41" i="5"/>
  <c r="E43" i="5"/>
  <c r="F43" i="5"/>
  <c r="G43" i="5"/>
  <c r="J43" i="5"/>
  <c r="E44" i="5"/>
  <c r="F44" i="5"/>
  <c r="E45" i="5"/>
  <c r="F45" i="5"/>
  <c r="G45" i="5"/>
  <c r="J45" i="5"/>
  <c r="E46" i="5"/>
  <c r="F46" i="5"/>
  <c r="G46" i="5"/>
  <c r="J46" i="5"/>
  <c r="E47" i="5"/>
  <c r="F47" i="5"/>
  <c r="G47" i="5"/>
  <c r="E48" i="5"/>
  <c r="F48" i="5"/>
  <c r="G48" i="5"/>
  <c r="J48" i="5"/>
  <c r="E49" i="5"/>
  <c r="F49" i="5"/>
  <c r="G49" i="5"/>
  <c r="J49" i="5"/>
  <c r="E50" i="5"/>
  <c r="F50" i="5"/>
  <c r="G50" i="5"/>
  <c r="J50" i="5"/>
  <c r="E42" i="5"/>
  <c r="F42" i="5"/>
  <c r="D9" i="5"/>
  <c r="C9" i="5"/>
  <c r="E32" i="5"/>
  <c r="F32" i="5"/>
  <c r="E33" i="5"/>
  <c r="F33" i="5"/>
  <c r="E34" i="5"/>
  <c r="F34" i="5"/>
  <c r="K34" i="5"/>
  <c r="E30" i="5"/>
  <c r="F30" i="5"/>
  <c r="G30" i="5"/>
  <c r="J30" i="5"/>
  <c r="E36" i="5"/>
  <c r="F36" i="5"/>
  <c r="G36" i="5"/>
  <c r="J36" i="5"/>
  <c r="E37" i="5"/>
  <c r="F37" i="5"/>
  <c r="G37" i="5"/>
  <c r="J37" i="5"/>
  <c r="E38" i="5"/>
  <c r="F38" i="5"/>
  <c r="E39" i="5"/>
  <c r="F39" i="5"/>
  <c r="E23" i="5"/>
  <c r="F23" i="5"/>
  <c r="G23" i="5"/>
  <c r="H23" i="5"/>
  <c r="E24" i="5"/>
  <c r="F24" i="5"/>
  <c r="E25" i="5"/>
  <c r="F25" i="5"/>
  <c r="E27" i="5"/>
  <c r="F27" i="5"/>
  <c r="G27" i="5"/>
  <c r="H27" i="5"/>
  <c r="E31" i="5"/>
  <c r="F31" i="5"/>
  <c r="K31" i="5"/>
  <c r="E29" i="5"/>
  <c r="F29" i="5"/>
  <c r="G29" i="5"/>
  <c r="E35" i="5"/>
  <c r="F35" i="5"/>
  <c r="K35" i="5"/>
  <c r="K47" i="5"/>
  <c r="G33" i="5"/>
  <c r="K33" i="5"/>
  <c r="G24" i="5"/>
  <c r="H24" i="5"/>
  <c r="G25" i="5"/>
  <c r="P50" i="5"/>
  <c r="G30" i="6"/>
  <c r="C30" i="6"/>
  <c r="E30" i="6"/>
  <c r="G29" i="6"/>
  <c r="C29" i="6"/>
  <c r="E29" i="6"/>
  <c r="G31" i="6"/>
  <c r="C31" i="6"/>
  <c r="E31" i="6"/>
  <c r="G28" i="6"/>
  <c r="C28" i="6"/>
  <c r="E28" i="6"/>
  <c r="G27" i="6"/>
  <c r="C27" i="6"/>
  <c r="E27" i="6"/>
  <c r="G26" i="6"/>
  <c r="C26" i="6"/>
  <c r="E26" i="6"/>
  <c r="G25" i="6"/>
  <c r="C25" i="6"/>
  <c r="E25" i="6"/>
  <c r="G24" i="6"/>
  <c r="C24" i="6"/>
  <c r="E24" i="6"/>
  <c r="G23" i="6"/>
  <c r="C23" i="6"/>
  <c r="E23" i="6"/>
  <c r="G22" i="6"/>
  <c r="C22" i="6"/>
  <c r="E22" i="6"/>
  <c r="G21" i="6"/>
  <c r="C21" i="6"/>
  <c r="E21" i="6"/>
  <c r="G20" i="6"/>
  <c r="C20" i="6"/>
  <c r="E20" i="6"/>
  <c r="G19" i="6"/>
  <c r="C19" i="6"/>
  <c r="E19" i="6"/>
  <c r="G18" i="6"/>
  <c r="C18" i="6"/>
  <c r="E18" i="6"/>
  <c r="G17" i="6"/>
  <c r="C17" i="6"/>
  <c r="E17" i="6"/>
  <c r="G16" i="6"/>
  <c r="C16" i="6"/>
  <c r="E16" i="6"/>
  <c r="G15" i="6"/>
  <c r="C15" i="6"/>
  <c r="E15" i="6"/>
  <c r="G14" i="6"/>
  <c r="C14" i="6"/>
  <c r="E14" i="6"/>
  <c r="G13" i="6"/>
  <c r="C13" i="6"/>
  <c r="E13" i="6"/>
  <c r="G12" i="6"/>
  <c r="C12" i="6"/>
  <c r="E12" i="6"/>
  <c r="G11" i="6"/>
  <c r="C11" i="6"/>
  <c r="E11" i="6"/>
  <c r="E28" i="5"/>
  <c r="H30" i="6"/>
  <c r="B30" i="6"/>
  <c r="D30" i="6"/>
  <c r="A30" i="6"/>
  <c r="H29" i="6"/>
  <c r="B29" i="6"/>
  <c r="D29" i="6"/>
  <c r="A29" i="6"/>
  <c r="H31" i="6"/>
  <c r="B31" i="6"/>
  <c r="D31" i="6"/>
  <c r="A31" i="6"/>
  <c r="H28" i="6"/>
  <c r="B28" i="6"/>
  <c r="D28" i="6"/>
  <c r="A28" i="6"/>
  <c r="H27" i="6"/>
  <c r="B27" i="6"/>
  <c r="D27" i="6"/>
  <c r="A27" i="6"/>
  <c r="H26" i="6"/>
  <c r="B26" i="6"/>
  <c r="D26" i="6"/>
  <c r="A26" i="6"/>
  <c r="H25" i="6"/>
  <c r="B25" i="6"/>
  <c r="D25" i="6"/>
  <c r="A25" i="6"/>
  <c r="H24" i="6"/>
  <c r="B24" i="6"/>
  <c r="D24" i="6"/>
  <c r="A24" i="6"/>
  <c r="H23" i="6"/>
  <c r="B23" i="6"/>
  <c r="D23" i="6"/>
  <c r="A23" i="6"/>
  <c r="H22" i="6"/>
  <c r="B22" i="6"/>
  <c r="D22" i="6"/>
  <c r="A22" i="6"/>
  <c r="H21" i="6"/>
  <c r="B21" i="6"/>
  <c r="D21" i="6"/>
  <c r="A21" i="6"/>
  <c r="H20" i="6"/>
  <c r="B20" i="6"/>
  <c r="D20" i="6"/>
  <c r="A20" i="6"/>
  <c r="H19" i="6"/>
  <c r="B19" i="6"/>
  <c r="D19" i="6"/>
  <c r="A19" i="6"/>
  <c r="H18" i="6"/>
  <c r="B18" i="6"/>
  <c r="D18" i="6"/>
  <c r="A18" i="6"/>
  <c r="H17" i="6"/>
  <c r="B17" i="6"/>
  <c r="D17" i="6"/>
  <c r="A17" i="6"/>
  <c r="H16" i="6"/>
  <c r="B16" i="6"/>
  <c r="D16" i="6"/>
  <c r="A16" i="6"/>
  <c r="H15" i="6"/>
  <c r="B15" i="6"/>
  <c r="D15" i="6"/>
  <c r="A15" i="6"/>
  <c r="H14" i="6"/>
  <c r="B14" i="6"/>
  <c r="D14" i="6"/>
  <c r="A14" i="6"/>
  <c r="H13" i="6"/>
  <c r="B13" i="6"/>
  <c r="D13" i="6"/>
  <c r="A13" i="6"/>
  <c r="H12" i="6"/>
  <c r="B12" i="6"/>
  <c r="D12" i="6"/>
  <c r="A12" i="6"/>
  <c r="H11" i="6"/>
  <c r="B11" i="6"/>
  <c r="D11" i="6"/>
  <c r="A11" i="6"/>
  <c r="P43" i="5"/>
  <c r="P49" i="5"/>
  <c r="P48" i="5"/>
  <c r="P46" i="5"/>
  <c r="P45" i="5"/>
  <c r="P47" i="5"/>
  <c r="L47" i="5"/>
  <c r="E21" i="5"/>
  <c r="F21" i="5"/>
  <c r="G21" i="5"/>
  <c r="I21" i="5"/>
  <c r="E22" i="5"/>
  <c r="F22" i="5"/>
  <c r="K22" i="5"/>
  <c r="G22" i="5"/>
  <c r="Q22" i="5"/>
  <c r="E26" i="5"/>
  <c r="F26" i="5"/>
  <c r="G26" i="5"/>
  <c r="F28" i="5"/>
  <c r="G28" i="5"/>
  <c r="K28" i="5"/>
  <c r="G31" i="5"/>
  <c r="G35" i="5"/>
  <c r="L35" i="5"/>
  <c r="G38" i="5"/>
  <c r="P44" i="5"/>
  <c r="P41" i="5"/>
  <c r="F16" i="5"/>
  <c r="C17" i="5"/>
  <c r="P42" i="5"/>
  <c r="P40" i="5"/>
  <c r="Q28" i="5"/>
  <c r="Q31" i="5"/>
  <c r="P21" i="5"/>
  <c r="P22" i="5"/>
  <c r="P23" i="5"/>
  <c r="P24" i="5"/>
  <c r="H25" i="5"/>
  <c r="P25" i="5"/>
  <c r="P26" i="5"/>
  <c r="P27" i="5"/>
  <c r="P28" i="5"/>
  <c r="P29" i="5"/>
  <c r="P30" i="5"/>
  <c r="P31" i="5"/>
  <c r="P32" i="5"/>
  <c r="P33" i="5"/>
  <c r="P34" i="5"/>
  <c r="P35" i="5"/>
  <c r="P36" i="5"/>
  <c r="P37" i="5"/>
  <c r="J38" i="5"/>
  <c r="P38" i="5"/>
  <c r="P39" i="5"/>
  <c r="C15" i="4"/>
  <c r="C18" i="4"/>
  <c r="C21" i="4"/>
  <c r="P21" i="4"/>
  <c r="E21" i="4"/>
  <c r="F21" i="4"/>
  <c r="E22" i="4"/>
  <c r="F22" i="4"/>
  <c r="G22" i="4"/>
  <c r="J22" i="4"/>
  <c r="P22" i="4"/>
  <c r="E23" i="4"/>
  <c r="F23" i="4"/>
  <c r="P23" i="4"/>
  <c r="E24" i="4"/>
  <c r="F24" i="4"/>
  <c r="G24" i="4"/>
  <c r="I24" i="4"/>
  <c r="P24" i="4"/>
  <c r="E25" i="4"/>
  <c r="F25" i="4"/>
  <c r="G25" i="4"/>
  <c r="I25" i="4"/>
  <c r="P25" i="4"/>
  <c r="E26" i="4"/>
  <c r="F26" i="4"/>
  <c r="G26" i="4"/>
  <c r="J26" i="4"/>
  <c r="P26" i="4"/>
  <c r="E27" i="4"/>
  <c r="F27" i="4"/>
  <c r="G27" i="4"/>
  <c r="I27" i="4"/>
  <c r="P27" i="4"/>
  <c r="E28" i="4"/>
  <c r="F28" i="4"/>
  <c r="G28" i="4"/>
  <c r="M28" i="4"/>
  <c r="P28" i="4"/>
  <c r="E29" i="4"/>
  <c r="F29" i="4"/>
  <c r="G29" i="4"/>
  <c r="J29" i="4"/>
  <c r="P29" i="4"/>
  <c r="E30" i="4"/>
  <c r="F30" i="4"/>
  <c r="G30" i="4"/>
  <c r="J30" i="4"/>
  <c r="P30" i="4"/>
  <c r="E31" i="4"/>
  <c r="F31" i="4"/>
  <c r="G31" i="4"/>
  <c r="K31" i="4"/>
  <c r="P31" i="4"/>
  <c r="E32" i="4"/>
  <c r="F32" i="4"/>
  <c r="G32" i="4"/>
  <c r="K32" i="4"/>
  <c r="P32" i="4"/>
  <c r="E33" i="4"/>
  <c r="F33" i="4"/>
  <c r="G33" i="4"/>
  <c r="K33" i="4"/>
  <c r="P33" i="4"/>
  <c r="E34" i="4"/>
  <c r="F34" i="4"/>
  <c r="G34" i="4"/>
  <c r="K34" i="4"/>
  <c r="P34" i="4"/>
  <c r="E35" i="4"/>
  <c r="F35" i="4"/>
  <c r="G35" i="4"/>
  <c r="J35" i="4"/>
  <c r="P35" i="4"/>
  <c r="E36" i="4"/>
  <c r="F36" i="4"/>
  <c r="G36" i="4"/>
  <c r="J36" i="4"/>
  <c r="P36" i="4"/>
  <c r="E37" i="4"/>
  <c r="F37" i="4"/>
  <c r="G37" i="4"/>
  <c r="J37" i="4"/>
  <c r="P37" i="4"/>
  <c r="E38" i="4"/>
  <c r="F38" i="4"/>
  <c r="G38" i="4"/>
  <c r="J38" i="4"/>
  <c r="P38" i="4"/>
  <c r="C15" i="3"/>
  <c r="C18" i="3"/>
  <c r="C21" i="3"/>
  <c r="P21" i="3"/>
  <c r="E22" i="3"/>
  <c r="F22" i="3"/>
  <c r="J22" i="3"/>
  <c r="G22" i="3"/>
  <c r="P22" i="3"/>
  <c r="E23" i="3"/>
  <c r="F23" i="3"/>
  <c r="G23" i="3"/>
  <c r="I23" i="3"/>
  <c r="P23" i="3"/>
  <c r="E24" i="3"/>
  <c r="F24" i="3"/>
  <c r="G24" i="3"/>
  <c r="I24" i="3"/>
  <c r="P24" i="3"/>
  <c r="E25" i="3"/>
  <c r="F25" i="3"/>
  <c r="G25" i="3"/>
  <c r="I25" i="3"/>
  <c r="P25" i="3"/>
  <c r="E26" i="3"/>
  <c r="F26" i="3"/>
  <c r="G26" i="3"/>
  <c r="J26" i="3"/>
  <c r="P26" i="3"/>
  <c r="E27" i="3"/>
  <c r="F27" i="3"/>
  <c r="G27" i="3"/>
  <c r="I27" i="3"/>
  <c r="P27" i="3"/>
  <c r="E28" i="3"/>
  <c r="F28" i="3"/>
  <c r="G28" i="3"/>
  <c r="M28" i="3"/>
  <c r="P28" i="3"/>
  <c r="E29" i="3"/>
  <c r="F29" i="3"/>
  <c r="G29" i="3"/>
  <c r="J29" i="3"/>
  <c r="P29" i="3"/>
  <c r="E30" i="3"/>
  <c r="F30" i="3"/>
  <c r="G30" i="3"/>
  <c r="J30" i="3"/>
  <c r="P30" i="3"/>
  <c r="E31" i="3"/>
  <c r="F31" i="3"/>
  <c r="G31" i="3"/>
  <c r="K31" i="3"/>
  <c r="P31" i="3"/>
  <c r="E32" i="3"/>
  <c r="F32" i="3"/>
  <c r="G32" i="3"/>
  <c r="K32" i="3"/>
  <c r="P32" i="3"/>
  <c r="E33" i="3"/>
  <c r="F33" i="3"/>
  <c r="G33" i="3"/>
  <c r="P33" i="3"/>
  <c r="E34" i="3"/>
  <c r="F34" i="3"/>
  <c r="G34" i="3"/>
  <c r="K34" i="3"/>
  <c r="P34" i="3"/>
  <c r="E35" i="3"/>
  <c r="F35" i="3"/>
  <c r="G35" i="3"/>
  <c r="J35" i="3"/>
  <c r="P35" i="3"/>
  <c r="E36" i="3"/>
  <c r="F36" i="3"/>
  <c r="G36" i="3"/>
  <c r="J36" i="3"/>
  <c r="P36" i="3"/>
  <c r="E37" i="3"/>
  <c r="F37" i="3"/>
  <c r="G37" i="3"/>
  <c r="J37" i="3"/>
  <c r="P37" i="3"/>
  <c r="E38" i="3"/>
  <c r="F38" i="3"/>
  <c r="G38" i="3"/>
  <c r="J38" i="3"/>
  <c r="P38" i="3"/>
  <c r="C15" i="2"/>
  <c r="C18" i="2"/>
  <c r="C21" i="2"/>
  <c r="G21" i="2"/>
  <c r="E21" i="2"/>
  <c r="H21" i="2"/>
  <c r="E22" i="2"/>
  <c r="F22" i="2"/>
  <c r="G22" i="2"/>
  <c r="J22" i="2"/>
  <c r="P22" i="2"/>
  <c r="E23" i="2"/>
  <c r="F23" i="2"/>
  <c r="G23" i="2"/>
  <c r="I23" i="2"/>
  <c r="P23" i="2"/>
  <c r="E24" i="2"/>
  <c r="F24" i="2"/>
  <c r="G24" i="2"/>
  <c r="I24" i="2"/>
  <c r="P24" i="2"/>
  <c r="E25" i="2"/>
  <c r="F25" i="2"/>
  <c r="G25" i="2"/>
  <c r="I25" i="2"/>
  <c r="P25" i="2"/>
  <c r="E26" i="2"/>
  <c r="F26" i="2"/>
  <c r="G26" i="2"/>
  <c r="J26" i="2"/>
  <c r="P26" i="2"/>
  <c r="E27" i="2"/>
  <c r="F27" i="2"/>
  <c r="G27" i="2"/>
  <c r="I27" i="2"/>
  <c r="P27" i="2"/>
  <c r="E28" i="2"/>
  <c r="F28" i="2"/>
  <c r="G28" i="2"/>
  <c r="M28" i="2"/>
  <c r="P28" i="2"/>
  <c r="E29" i="2"/>
  <c r="F29" i="2"/>
  <c r="G29" i="2"/>
  <c r="J29" i="2"/>
  <c r="P29" i="2"/>
  <c r="E30" i="2"/>
  <c r="F30" i="2"/>
  <c r="G30" i="2"/>
  <c r="J30" i="2"/>
  <c r="P30" i="2"/>
  <c r="E31" i="2"/>
  <c r="F31" i="2"/>
  <c r="G31" i="2"/>
  <c r="K31" i="2"/>
  <c r="P31" i="2"/>
  <c r="E32" i="2"/>
  <c r="F32" i="2"/>
  <c r="G32" i="2"/>
  <c r="K32" i="2"/>
  <c r="P32" i="2"/>
  <c r="E33" i="2"/>
  <c r="F33" i="2"/>
  <c r="G33" i="2"/>
  <c r="K33" i="2"/>
  <c r="P33" i="2"/>
  <c r="E34" i="2"/>
  <c r="F34" i="2"/>
  <c r="G34" i="2"/>
  <c r="K34" i="2"/>
  <c r="P34" i="2"/>
  <c r="E35" i="2"/>
  <c r="F35" i="2"/>
  <c r="G35" i="2"/>
  <c r="L35" i="2"/>
  <c r="P35" i="2"/>
  <c r="E36" i="2"/>
  <c r="F36" i="2"/>
  <c r="G36" i="2"/>
  <c r="J36" i="2"/>
  <c r="P36" i="2"/>
  <c r="E37" i="2"/>
  <c r="F37" i="2"/>
  <c r="G37" i="2"/>
  <c r="J37" i="2"/>
  <c r="P37" i="2"/>
  <c r="E38" i="2"/>
  <c r="F38" i="2"/>
  <c r="G38" i="2"/>
  <c r="J38" i="2"/>
  <c r="P38" i="2"/>
  <c r="D15" i="1"/>
  <c r="C17" i="1"/>
  <c r="C21" i="1"/>
  <c r="E21" i="1"/>
  <c r="F21" i="1"/>
  <c r="Q21" i="1"/>
  <c r="E22" i="1"/>
  <c r="F22" i="1"/>
  <c r="J22" i="1"/>
  <c r="Q22" i="1"/>
  <c r="E23" i="1"/>
  <c r="F23" i="1"/>
  <c r="G23" i="1"/>
  <c r="I23" i="1"/>
  <c r="Q23" i="1"/>
  <c r="E24" i="1"/>
  <c r="F24" i="1"/>
  <c r="G24" i="1"/>
  <c r="I24" i="1"/>
  <c r="Q24" i="1"/>
  <c r="E25" i="1"/>
  <c r="F25" i="1"/>
  <c r="G25" i="1"/>
  <c r="I25" i="1"/>
  <c r="Q25" i="1"/>
  <c r="E26" i="1"/>
  <c r="F26" i="1"/>
  <c r="G26" i="1"/>
  <c r="J26" i="1"/>
  <c r="Q26" i="1"/>
  <c r="E27" i="1"/>
  <c r="F27" i="1"/>
  <c r="G27" i="1"/>
  <c r="I27" i="1"/>
  <c r="Q27" i="1"/>
  <c r="E28" i="1"/>
  <c r="F28" i="1"/>
  <c r="G28" i="1"/>
  <c r="K28" i="1"/>
  <c r="Q28" i="1"/>
  <c r="E29" i="1"/>
  <c r="F29" i="1"/>
  <c r="G29" i="1"/>
  <c r="J29" i="1"/>
  <c r="Q29" i="1"/>
  <c r="E30" i="1"/>
  <c r="F30" i="1"/>
  <c r="G30" i="1"/>
  <c r="J30" i="1"/>
  <c r="Q30" i="1"/>
  <c r="E31" i="1"/>
  <c r="F31" i="1"/>
  <c r="G31" i="1"/>
  <c r="K31" i="1"/>
  <c r="Q31" i="1"/>
  <c r="E32" i="1"/>
  <c r="F32" i="1"/>
  <c r="G32" i="1"/>
  <c r="K32" i="1"/>
  <c r="Q32" i="1"/>
  <c r="E33" i="1"/>
  <c r="F33" i="1"/>
  <c r="G33" i="1"/>
  <c r="K33" i="1"/>
  <c r="Q33" i="1"/>
  <c r="E34" i="1"/>
  <c r="F34" i="1"/>
  <c r="G34" i="1"/>
  <c r="K34" i="1"/>
  <c r="Q34" i="1"/>
  <c r="E35" i="1"/>
  <c r="F35" i="1"/>
  <c r="G35" i="1"/>
  <c r="L35" i="1"/>
  <c r="Q35" i="1"/>
  <c r="E36" i="1"/>
  <c r="F36" i="1"/>
  <c r="G36" i="1"/>
  <c r="J36" i="1"/>
  <c r="Q36" i="1"/>
  <c r="E37" i="1"/>
  <c r="F37" i="1"/>
  <c r="G37" i="1"/>
  <c r="J37" i="1"/>
  <c r="Q37" i="1"/>
  <c r="E38" i="1"/>
  <c r="F38" i="1"/>
  <c r="G38" i="1"/>
  <c r="J38" i="1"/>
  <c r="Q38" i="1"/>
  <c r="C12" i="2"/>
  <c r="C16" i="2"/>
  <c r="D18" i="2"/>
  <c r="K33" i="3"/>
  <c r="C11" i="3"/>
  <c r="P21" i="2"/>
  <c r="Q26" i="5"/>
  <c r="K26" i="5"/>
  <c r="G32" i="5"/>
  <c r="K32" i="5"/>
  <c r="G44" i="5"/>
  <c r="K44" i="5"/>
  <c r="D16" i="2"/>
  <c r="K29" i="5"/>
  <c r="J29" i="5"/>
  <c r="Q29" i="5"/>
  <c r="C12" i="3"/>
  <c r="C16" i="3"/>
  <c r="D18" i="3"/>
  <c r="C11" i="2"/>
  <c r="E21" i="3"/>
  <c r="F21" i="3"/>
  <c r="G21" i="3"/>
  <c r="C11" i="4"/>
  <c r="C12" i="4"/>
  <c r="C16" i="4"/>
  <c r="D18" i="4"/>
  <c r="G21" i="1"/>
  <c r="G21" i="4"/>
  <c r="G34" i="5"/>
  <c r="H21" i="3"/>
  <c r="D16" i="3"/>
  <c r="D16" i="4"/>
  <c r="H21" i="4"/>
  <c r="D16" i="1"/>
  <c r="H21" i="1"/>
  <c r="C12" i="1"/>
  <c r="C16" i="1"/>
  <c r="D18" i="1"/>
  <c r="C11" i="1"/>
  <c r="N23" i="3"/>
  <c r="Q23" i="3"/>
  <c r="N31" i="3"/>
  <c r="Q31" i="3"/>
  <c r="N22" i="3"/>
  <c r="Q22" i="3"/>
  <c r="N29" i="3"/>
  <c r="Q29" i="3"/>
  <c r="N37" i="3"/>
  <c r="Q37" i="3"/>
  <c r="N26" i="3"/>
  <c r="Q26" i="3"/>
  <c r="N34" i="3"/>
  <c r="Q34" i="3"/>
  <c r="N25" i="3"/>
  <c r="Q25" i="3"/>
  <c r="N33" i="3"/>
  <c r="Q33" i="3"/>
  <c r="N36" i="3"/>
  <c r="Q36" i="3"/>
  <c r="N38" i="3"/>
  <c r="Q38" i="3"/>
  <c r="N27" i="3"/>
  <c r="Q27" i="3"/>
  <c r="N24" i="3"/>
  <c r="Q24" i="3"/>
  <c r="N35" i="3"/>
  <c r="Q35" i="3"/>
  <c r="N28" i="3"/>
  <c r="Q28" i="3"/>
  <c r="N30" i="3"/>
  <c r="Q30" i="3"/>
  <c r="N32" i="3"/>
  <c r="Q32" i="3"/>
  <c r="N25" i="4"/>
  <c r="Q25" i="4"/>
  <c r="N33" i="4"/>
  <c r="Q33" i="4"/>
  <c r="N24" i="4"/>
  <c r="Q24" i="4"/>
  <c r="N32" i="4"/>
  <c r="Q32" i="4"/>
  <c r="N23" i="4"/>
  <c r="Q23" i="4"/>
  <c r="N31" i="4"/>
  <c r="Q31" i="4"/>
  <c r="N30" i="4"/>
  <c r="Q30" i="4"/>
  <c r="N38" i="4"/>
  <c r="Q38" i="4"/>
  <c r="N22" i="4"/>
  <c r="Q22" i="4"/>
  <c r="N28" i="4"/>
  <c r="Q28" i="4"/>
  <c r="N36" i="4"/>
  <c r="Q36" i="4"/>
  <c r="N27" i="4"/>
  <c r="Q27" i="4"/>
  <c r="N35" i="4"/>
  <c r="Q35" i="4"/>
  <c r="N26" i="4"/>
  <c r="Q26" i="4"/>
  <c r="N37" i="4"/>
  <c r="Q37" i="4"/>
  <c r="N29" i="4"/>
  <c r="Q29" i="4"/>
  <c r="N34" i="4"/>
  <c r="Q34" i="4"/>
  <c r="N22" i="2"/>
  <c r="Q22" i="2"/>
  <c r="N30" i="2"/>
  <c r="Q30" i="2"/>
  <c r="N21" i="2"/>
  <c r="N28" i="2"/>
  <c r="Q28" i="2"/>
  <c r="N36" i="2"/>
  <c r="Q36" i="2"/>
  <c r="N32" i="2"/>
  <c r="Q32" i="2"/>
  <c r="N26" i="2"/>
  <c r="Q26" i="2"/>
  <c r="N29" i="2"/>
  <c r="Q29" i="2"/>
  <c r="N33" i="2"/>
  <c r="Q33" i="2"/>
  <c r="N38" i="2"/>
  <c r="Q38" i="2"/>
  <c r="N25" i="2"/>
  <c r="Q25" i="2"/>
  <c r="N37" i="2"/>
  <c r="Q37" i="2"/>
  <c r="N31" i="2"/>
  <c r="Q31" i="2"/>
  <c r="N24" i="2"/>
  <c r="Q24" i="2"/>
  <c r="N27" i="2"/>
  <c r="Q27" i="2"/>
  <c r="N35" i="2"/>
  <c r="Q35" i="2"/>
  <c r="N23" i="2"/>
  <c r="Q23" i="2"/>
  <c r="N34" i="2"/>
  <c r="Q34" i="2"/>
  <c r="O29" i="1"/>
  <c r="R29" i="1"/>
  <c r="O37" i="1"/>
  <c r="R37" i="1"/>
  <c r="O33" i="1"/>
  <c r="R33" i="1"/>
  <c r="O22" i="1"/>
  <c r="R22" i="1"/>
  <c r="O26" i="1"/>
  <c r="R26" i="1"/>
  <c r="O31" i="1"/>
  <c r="R31" i="1"/>
  <c r="O21" i="1"/>
  <c r="O35" i="1"/>
  <c r="R35" i="1"/>
  <c r="O30" i="1"/>
  <c r="R30" i="1"/>
  <c r="O24" i="1"/>
  <c r="R24" i="1"/>
  <c r="O34" i="1"/>
  <c r="R34" i="1"/>
  <c r="O28" i="1"/>
  <c r="R28" i="1"/>
  <c r="O38" i="1"/>
  <c r="R38" i="1"/>
  <c r="C15" i="1"/>
  <c r="C18" i="1"/>
  <c r="O27" i="1"/>
  <c r="R27" i="1"/>
  <c r="O23" i="1"/>
  <c r="R23" i="1"/>
  <c r="O32" i="1"/>
  <c r="R32" i="1"/>
  <c r="O36" i="1"/>
  <c r="R36" i="1"/>
  <c r="O25" i="1"/>
  <c r="R25" i="1"/>
  <c r="C9" i="3"/>
  <c r="Q18" i="3"/>
  <c r="Q18" i="4"/>
  <c r="Q18" i="2"/>
  <c r="C9" i="2"/>
  <c r="F9" i="2"/>
  <c r="R18" i="1"/>
  <c r="C9" i="1"/>
  <c r="F9" i="1"/>
  <c r="C11" i="5"/>
  <c r="C12" i="5"/>
  <c r="C16" i="5" l="1"/>
  <c r="D18" i="5" s="1"/>
  <c r="N45" i="5"/>
  <c r="Q45" i="5" s="1"/>
  <c r="N47" i="5"/>
  <c r="Q47" i="5" s="1"/>
  <c r="N49" i="5"/>
  <c r="Q49" i="5" s="1"/>
  <c r="N50" i="5"/>
  <c r="Q50" i="5" s="1"/>
  <c r="N35" i="5"/>
  <c r="Q35" i="5" s="1"/>
  <c r="N42" i="5"/>
  <c r="Q42" i="5" s="1"/>
  <c r="N24" i="5"/>
  <c r="Q24" i="5" s="1"/>
  <c r="N37" i="5"/>
  <c r="Q37" i="5" s="1"/>
  <c r="N23" i="5"/>
  <c r="Q23" i="5" s="1"/>
  <c r="N34" i="5"/>
  <c r="Q34" i="5" s="1"/>
  <c r="N39" i="5"/>
  <c r="Q39" i="5" s="1"/>
  <c r="N36" i="5"/>
  <c r="Q36" i="5" s="1"/>
  <c r="N41" i="5"/>
  <c r="Q41" i="5" s="1"/>
  <c r="N43" i="5"/>
  <c r="Q43" i="5" s="1"/>
  <c r="C15" i="5"/>
  <c r="F18" i="5" s="1"/>
  <c r="N38" i="5"/>
  <c r="Q38" i="5" s="1"/>
  <c r="N25" i="5"/>
  <c r="Q25" i="5" s="1"/>
  <c r="N27" i="5"/>
  <c r="Q27" i="5" s="1"/>
  <c r="N40" i="5"/>
  <c r="Q40" i="5" s="1"/>
  <c r="N33" i="5"/>
  <c r="Q33" i="5" s="1"/>
  <c r="N48" i="5"/>
  <c r="Q48" i="5" s="1"/>
  <c r="N44" i="5"/>
  <c r="Q44" i="5" s="1"/>
  <c r="N32" i="5"/>
  <c r="Q32" i="5" s="1"/>
  <c r="N46" i="5"/>
  <c r="Q46" i="5" s="1"/>
  <c r="N30" i="5"/>
  <c r="Q30" i="5" s="1"/>
  <c r="F17" i="5"/>
  <c r="C18" i="5" l="1"/>
  <c r="F19" i="5"/>
  <c r="Q18" i="5"/>
</calcChain>
</file>

<file path=xl/sharedStrings.xml><?xml version="1.0" encoding="utf-8"?>
<sst xmlns="http://schemas.openxmlformats.org/spreadsheetml/2006/main" count="576" uniqueCount="198">
  <si>
    <t>IBVS 6196</t>
  </si>
  <si>
    <t>s5</t>
  </si>
  <si>
    <t>s6</t>
  </si>
  <si>
    <t>BAD?</t>
  </si>
  <si>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</si>
  <si>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</si>
  <si>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</si>
  <si>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</si>
  <si>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</si>
  <si>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</si>
  <si>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</si>
  <si>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</si>
  <si>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</si>
  <si>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</si>
  <si>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</si>
  <si>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</si>
  <si>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</si>
  <si>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</si>
  <si>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</si>
  <si>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</si>
  <si>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</si>
  <si>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</si>
  <si>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</si>
  <si>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</si>
  <si>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</si>
  <si>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</si>
  <si>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</si>
  <si>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</si>
  <si>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Sum diff² =</t>
  </si>
  <si>
    <t>System Type:</t>
  </si>
  <si>
    <t>V731 Her</t>
  </si>
  <si>
    <t>EW/KE:</t>
  </si>
  <si>
    <t>IBVS 5027</t>
  </si>
  <si>
    <t>II</t>
  </si>
  <si>
    <t>I</t>
  </si>
  <si>
    <t>ROTSE</t>
  </si>
  <si>
    <t>I?</t>
  </si>
  <si>
    <t>II?</t>
  </si>
  <si>
    <t>IBVS</t>
  </si>
  <si>
    <t>Krajci</t>
  </si>
  <si>
    <t>BBSAG 128</t>
  </si>
  <si>
    <t>S5</t>
  </si>
  <si>
    <t>Misc</t>
  </si>
  <si>
    <t>Very confusing</t>
  </si>
  <si>
    <t>IBVS 5603</t>
  </si>
  <si>
    <t>Diff²</t>
  </si>
  <si>
    <t>Sum Diff²</t>
  </si>
  <si>
    <t>Poorer</t>
  </si>
  <si>
    <t>fit</t>
  </si>
  <si>
    <t>IBVS 5592</t>
  </si>
  <si>
    <t>Nelson</t>
  </si>
  <si>
    <t>S6</t>
  </si>
  <si>
    <t>RMS dev'n</t>
  </si>
  <si>
    <t>days</t>
  </si>
  <si>
    <t>See also page B</t>
  </si>
  <si>
    <t>IBVS 5672</t>
  </si>
  <si>
    <t>IBVS 5657</t>
  </si>
  <si>
    <t># of data points:</t>
  </si>
  <si>
    <t>IBVS 5731</t>
  </si>
  <si>
    <t>Sum</t>
  </si>
  <si>
    <t>ROTSE1</t>
  </si>
  <si>
    <t>J171946.28+435909.4</t>
  </si>
  <si>
    <t>V731 Her / gsc 3085-06214</t>
  </si>
  <si>
    <t>ToMcat</t>
  </si>
  <si>
    <t>This is possibly the best fit -- but is it real?</t>
  </si>
  <si>
    <t>My time zone &gt;&gt;&gt;&gt;&gt;</t>
  </si>
  <si>
    <t>(PST=8, PDT=MDT=7, MDT=CST=6, etc.)</t>
  </si>
  <si>
    <t>JD today</t>
  </si>
  <si>
    <t>New Cycle</t>
  </si>
  <si>
    <t>Next ToM</t>
  </si>
  <si>
    <t>IBVS 5802</t>
  </si>
  <si>
    <t>Start of linear fit &gt;&gt;&gt;&gt;&gt;&gt;&gt;&gt;&gt;&gt;&gt;&gt;&gt;&gt;&gt;&gt;&gt;&gt;&gt;&gt;&gt;</t>
  </si>
  <si>
    <t>IBVS 5837</t>
  </si>
  <si>
    <t>IBVS 5945</t>
  </si>
  <si>
    <t>Add cycle</t>
  </si>
  <si>
    <t>Old Cycle</t>
  </si>
  <si>
    <t>IBVS 5918</t>
  </si>
  <si>
    <t>IBVS 5992</t>
  </si>
  <si>
    <t>IBVS 6050</t>
  </si>
  <si>
    <t>IBVS 6048</t>
  </si>
  <si>
    <t>IBVS 6084</t>
  </si>
  <si>
    <t>V0731 Her / gsc 3085-0621</t>
  </si>
  <si>
    <t>IBVS 5984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</si>
  <si>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</si>
  <si>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</si>
  <si>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</si>
  <si>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</si>
  <si>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</si>
  <si>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</si>
  <si>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</si>
  <si>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</si>
  <si>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</si>
  <si>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</si>
  <si>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</si>
  <si>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2452426.4162 </t>
  </si>
  <si>
    <t> 31.05.2002 21:59 </t>
  </si>
  <si>
    <t> -0.0718 </t>
  </si>
  <si>
    <t>E </t>
  </si>
  <si>
    <t>?</t>
  </si>
  <si>
    <t> E.Blättler </t>
  </si>
  <si>
    <t> BBS 128 </t>
  </si>
  <si>
    <t>2453114.8520 </t>
  </si>
  <si>
    <t> 19.04.2004 08:26 </t>
  </si>
  <si>
    <t> 0.0240 </t>
  </si>
  <si>
    <t> S.Dvorak </t>
  </si>
  <si>
    <t>IBVS 5603 </t>
  </si>
  <si>
    <t>2453117.4099 </t>
  </si>
  <si>
    <t> 21.04.2004 21:50 </t>
  </si>
  <si>
    <t> -0.1281 </t>
  </si>
  <si>
    <t>o</t>
  </si>
  <si>
    <t> F.Agerer </t>
  </si>
  <si>
    <t>BAVM 173 </t>
  </si>
  <si>
    <t>2453265.5900 </t>
  </si>
  <si>
    <t> 17.09.2004 02:09 </t>
  </si>
  <si>
    <t> 0.0860 </t>
  </si>
  <si>
    <t>C </t>
  </si>
  <si>
    <t> T.Krajci </t>
  </si>
  <si>
    <t>IBVS 5690 </t>
  </si>
  <si>
    <t>2453266.6510 </t>
  </si>
  <si>
    <t> 18.09.2004 03:37 </t>
  </si>
  <si>
    <t> 0.0630 </t>
  </si>
  <si>
    <t>2453269.6381 </t>
  </si>
  <si>
    <t> 21.09.2004 03:18 </t>
  </si>
  <si>
    <t> 0.0691 </t>
  </si>
  <si>
    <t>2453499.8972 </t>
  </si>
  <si>
    <t> 09.05.2005 09:31 </t>
  </si>
  <si>
    <t> -0.0218 </t>
  </si>
  <si>
    <t> R.Nelson </t>
  </si>
  <si>
    <t>IBVS 5672 </t>
  </si>
  <si>
    <t>2453515.4604 </t>
  </si>
  <si>
    <t> 24.05.2005 23:02 </t>
  </si>
  <si>
    <t> 0.0944 </t>
  </si>
  <si>
    <t>-I</t>
  </si>
  <si>
    <t>BAVM 178 </t>
  </si>
  <si>
    <t>2453518.4479 </t>
  </si>
  <si>
    <t> 27.05.2005 22:44 </t>
  </si>
  <si>
    <t>21353</t>
  </si>
  <si>
    <t> -0.1701 </t>
  </si>
  <si>
    <t>2453847.4224 </t>
  </si>
  <si>
    <t> 21.04.2006 22:08 </t>
  </si>
  <si>
    <t>21959.5</t>
  </si>
  <si>
    <t> 0.0814 </t>
  </si>
  <si>
    <t>2454222.4375 </t>
  </si>
  <si>
    <t> 01.05.2007 22:30 </t>
  </si>
  <si>
    <t>22651.5</t>
  </si>
  <si>
    <t> 0.0325 </t>
  </si>
  <si>
    <t> U.Schmidt </t>
  </si>
  <si>
    <t>BAVM 186 </t>
  </si>
  <si>
    <t>2454297.4938 </t>
  </si>
  <si>
    <t> 15.07.2007 23:51 </t>
  </si>
  <si>
    <t>22790</t>
  </si>
  <si>
    <t> 0.0218 </t>
  </si>
  <si>
    <t> R.Diethelm </t>
  </si>
  <si>
    <t>IBVS 5837 </t>
  </si>
  <si>
    <t>2454937.5272 </t>
  </si>
  <si>
    <t> 16.04.2009 00:39 </t>
  </si>
  <si>
    <t>23971</t>
  </si>
  <si>
    <t> -0.0468 </t>
  </si>
  <si>
    <t>BAVM 209 </t>
  </si>
  <si>
    <t>2455312.7610 </t>
  </si>
  <si>
    <t> 26.04.2010 06:15 </t>
  </si>
  <si>
    <t>24663.5</t>
  </si>
  <si>
    <t> -0.1480 </t>
  </si>
  <si>
    <t>IBVS 5945 </t>
  </si>
  <si>
    <t>2455388.4487 </t>
  </si>
  <si>
    <t> 10.07.2010 22:46 </t>
  </si>
  <si>
    <t>24803</t>
  </si>
  <si>
    <t> -0.0693 </t>
  </si>
  <si>
    <t>BAVM 215 </t>
  </si>
  <si>
    <t>2455726.7976 </t>
  </si>
  <si>
    <t> 14.06.2011 07:08 </t>
  </si>
  <si>
    <t>25427</t>
  </si>
  <si>
    <t> 0.0716 </t>
  </si>
  <si>
    <t>IBVS 5992 </t>
  </si>
  <si>
    <t>2456001.6202 </t>
  </si>
  <si>
    <t> 15.03.2012 02:53 </t>
  </si>
  <si>
    <t>25934.5</t>
  </si>
  <si>
    <t> -0.1708 </t>
  </si>
  <si>
    <t>BAVM 228 </t>
  </si>
  <si>
    <t>2456006.5255 </t>
  </si>
  <si>
    <t> 20.03.2012 00:36 </t>
  </si>
  <si>
    <t>25943.5</t>
  </si>
  <si>
    <t> -0.1435 </t>
  </si>
  <si>
    <t>2456024.8529 </t>
  </si>
  <si>
    <t> 07.04.2012 08:28 </t>
  </si>
  <si>
    <t>25977.5</t>
  </si>
  <si>
    <t> -0.2441 </t>
  </si>
  <si>
    <t>IBVS 6050 </t>
  </si>
  <si>
    <t>2456055.5548 </t>
  </si>
  <si>
    <t> 08.05.2012 01:18 </t>
  </si>
  <si>
    <t>26034</t>
  </si>
  <si>
    <t> -0.1652 </t>
  </si>
  <si>
    <t>2456489.4190 </t>
  </si>
  <si>
    <t> 15.07.2013 22:03 </t>
  </si>
  <si>
    <t>26834.5</t>
  </si>
  <si>
    <t> -0.1720 </t>
  </si>
  <si>
    <t> H.Jungbluth </t>
  </si>
  <si>
    <t>BAVM 232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</si>
</sst>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&quot;$&quot;#,##0_);\(&quot;$&quot;#,##0\)"/>
    <numFmt numFmtId="172" formatCode="0.0000"/>
    <numFmt numFmtId="176" formatCode="0.00000000"/>
  </numFmts>
  <fonts count="40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sz val="8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indexed="20"/>
      <name val="Arial"/>
      <family val="2"/>
    </font>
    <font>
      <b/>
      <sz val="10"/>
      <color indexed="12"/>
      <name val="Arial"/>
      <family val="2"/>
    </font>
    <font>
      <b/>
      <sz val="10"/>
      <color indexed="20"/>
      <name val="Arial"/>
      <family val="2"/>
    </font>
    <font>
      <sz val="10"/>
      <color indexed="20"/>
      <name val="Arial"/>
      <family val="2"/>
    </font>
    <font>
      <sz val="10"/>
      <color indexed="12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b/>
      <sz val="10"/>
      <color indexed="8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sz val="10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b/>
      <sz val="10"/>
      <color indexed="14"/>
      <name val="Arial"/>
      <family val="2"/>
    </font>
    <font>
      <sz val="1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48">
    <xf numFmtId="0" fontId="0" fillId="0" borderId="0">
      <alignment vertical="top"/>
    </xf>
    <xf numFmtId="0" fontId="22" fillId="2" borderId="0" applyNumberFormat="0" applyBorder="0" applyAlignment="0" applyProtection="0"/>
    <xf numFmtId="0" fontId="22" fillId="3" borderId="0" applyNumberFormat="0" applyBorder="0" applyAlignment="0" applyProtection="0"/>
    <xf numFmtId="0" fontId="22" fillId="4" borderId="0" applyNumberFormat="0" applyBorder="0" applyAlignment="0" applyProtection="0"/>
    <xf numFmtId="0" fontId="22" fillId="5" borderId="0" applyNumberFormat="0" applyBorder="0" applyAlignment="0" applyProtection="0"/>
    <xf numFmtId="0" fontId="22" fillId="6" borderId="0" applyNumberFormat="0" applyBorder="0" applyAlignment="0" applyProtection="0"/>
    <xf numFmtId="0" fontId="22" fillId="7" borderId="0" applyNumberFormat="0" applyBorder="0" applyAlignment="0" applyProtection="0"/>
    <xf numFmtId="0" fontId="22" fillId="8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5" borderId="0" applyNumberFormat="0" applyBorder="0" applyAlignment="0" applyProtection="0"/>
    <xf numFmtId="0" fontId="22" fillId="8" borderId="0" applyNumberFormat="0" applyBorder="0" applyAlignment="0" applyProtection="0"/>
    <xf numFmtId="0" fontId="22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9" borderId="0" applyNumberFormat="0" applyBorder="0" applyAlignment="0" applyProtection="0"/>
    <xf numFmtId="0" fontId="24" fillId="3" borderId="0" applyNumberFormat="0" applyBorder="0" applyAlignment="0" applyProtection="0"/>
    <xf numFmtId="0" fontId="25" fillId="20" borderId="1" applyNumberFormat="0" applyAlignment="0" applyProtection="0"/>
    <xf numFmtId="0" fontId="26" fillId="21" borderId="2" applyNumberFormat="0" applyAlignment="0" applyProtection="0"/>
    <xf numFmtId="3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28" fillId="0" borderId="0" applyNumberFormat="0" applyFill="0" applyBorder="0" applyAlignment="0" applyProtection="0"/>
    <xf numFmtId="2" fontId="39" fillId="0" borderId="0" applyFont="0" applyFill="0" applyBorder="0" applyAlignment="0" applyProtection="0"/>
    <xf numFmtId="0" fontId="29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0" fillId="0" borderId="3" applyNumberFormat="0" applyFill="0" applyAlignment="0" applyProtection="0"/>
    <xf numFmtId="0" fontId="30" fillId="0" borderId="0" applyNumberForma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31" fillId="7" borderId="1" applyNumberFormat="0" applyAlignment="0" applyProtection="0"/>
    <xf numFmtId="0" fontId="32" fillId="0" borderId="4" applyNumberFormat="0" applyFill="0" applyAlignment="0" applyProtection="0"/>
    <xf numFmtId="0" fontId="33" fillId="22" borderId="0" applyNumberFormat="0" applyBorder="0" applyAlignment="0" applyProtection="0"/>
    <xf numFmtId="0" fontId="6" fillId="0" borderId="0"/>
    <xf numFmtId="0" fontId="27" fillId="23" borderId="5" applyNumberFormat="0" applyFont="0" applyAlignment="0" applyProtection="0"/>
    <xf numFmtId="0" fontId="34" fillId="20" borderId="6" applyNumberFormat="0" applyAlignment="0" applyProtection="0"/>
    <xf numFmtId="0" fontId="35" fillId="0" borderId="0" applyNumberFormat="0" applyFill="0" applyBorder="0" applyAlignment="0" applyProtection="0"/>
    <xf numFmtId="0" fontId="39" fillId="0" borderId="7" applyNumberFormat="0" applyFont="0" applyFill="0" applyAlignment="0" applyProtection="0"/>
    <xf numFmtId="0" fontId="36" fillId="0" borderId="0" applyNumberFormat="0" applyFill="0" applyBorder="0" applyAlignment="0" applyProtection="0"/>
  </cellStyleXfs>
  <cellXfs count="91">
    <xf numFmtId="0" fontId="0" fillId="0" borderId="0" xfId="0" applyAlignment="1"/>
    <xf numFmtId="0" fontId="3" fillId="0" borderId="0" xfId="0" applyFont="1" applyAlignment="1"/>
    <xf numFmtId="0" fontId="0" fillId="0" borderId="8" xfId="0" applyBorder="1" applyAlignment="1"/>
    <xf numFmtId="0" fontId="0" fillId="0" borderId="9" xfId="0" applyBorder="1" applyAlignment="1"/>
    <xf numFmtId="0" fontId="4" fillId="0" borderId="0" xfId="0" applyFont="1" applyAlignment="1"/>
    <xf numFmtId="0" fontId="0" fillId="0" borderId="0" xfId="0" applyAlignment="1">
      <alignment horizontal="center"/>
    </xf>
    <xf numFmtId="0" fontId="0" fillId="0" borderId="10" xfId="0" applyBorder="1" applyAlignment="1">
      <alignment horizontal="center"/>
    </xf>
    <xf numFmtId="0" fontId="7" fillId="0" borderId="0" xfId="0" applyFont="1" applyAlignment="1"/>
    <xf numFmtId="0" fontId="7" fillId="0" borderId="10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172" fontId="0" fillId="0" borderId="0" xfId="0" applyNumberFormat="1" applyAlignment="1"/>
    <xf numFmtId="172" fontId="0" fillId="0" borderId="0" xfId="0" applyNumberFormat="1" applyAlignment="1">
      <alignment horizontal="center"/>
    </xf>
    <xf numFmtId="2" fontId="0" fillId="0" borderId="0" xfId="0" applyNumberFormat="1" applyAlignment="1"/>
    <xf numFmtId="22" fontId="0" fillId="0" borderId="0" xfId="0" applyNumberFormat="1" applyAlignment="1"/>
    <xf numFmtId="14" fontId="0" fillId="0" borderId="0" xfId="0" applyNumberFormat="1" applyAlignment="1"/>
    <xf numFmtId="176" fontId="0" fillId="0" borderId="0" xfId="0" applyNumberFormat="1" applyAlignment="1"/>
    <xf numFmtId="0" fontId="0" fillId="0" borderId="0" xfId="0" applyNumberFormat="1" applyAlignment="1"/>
    <xf numFmtId="0" fontId="10" fillId="0" borderId="0" xfId="0" applyFont="1" applyAlignment="1"/>
    <xf numFmtId="0" fontId="11" fillId="0" borderId="0" xfId="0" applyFont="1" applyAlignment="1"/>
    <xf numFmtId="172" fontId="12" fillId="0" borderId="0" xfId="0" applyNumberFormat="1" applyFont="1" applyAlignment="1"/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0" fillId="0" borderId="0" xfId="0">
      <alignment vertical="top"/>
    </xf>
    <xf numFmtId="0" fontId="7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left"/>
    </xf>
    <xf numFmtId="172" fontId="11" fillId="0" borderId="0" xfId="0" applyNumberFormat="1" applyFont="1" applyAlignment="1"/>
    <xf numFmtId="0" fontId="12" fillId="0" borderId="0" xfId="0" applyFont="1" applyAlignment="1"/>
    <xf numFmtId="22" fontId="12" fillId="0" borderId="0" xfId="0" applyNumberFormat="1" applyFont="1" applyAlignment="1"/>
    <xf numFmtId="0" fontId="11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13" fillId="0" borderId="0" xfId="0" applyFont="1" applyAlignment="1"/>
    <xf numFmtId="0" fontId="0" fillId="0" borderId="0" xfId="0" applyAlignment="1">
      <alignment horizontal="center" vertical="top"/>
    </xf>
    <xf numFmtId="172" fontId="5" fillId="0" borderId="0" xfId="0" applyNumberFormat="1" applyFont="1" applyAlignment="1"/>
    <xf numFmtId="0" fontId="0" fillId="0" borderId="0" xfId="0" applyAlignment="1">
      <alignment vertical="center"/>
    </xf>
    <xf numFmtId="0" fontId="8" fillId="0" borderId="0" xfId="0" applyFont="1" applyAlignment="1">
      <alignment horizontal="center"/>
    </xf>
    <xf numFmtId="0" fontId="14" fillId="0" borderId="0" xfId="0" applyFont="1" applyAlignment="1"/>
    <xf numFmtId="0" fontId="15" fillId="0" borderId="0" xfId="0" applyFont="1" applyAlignment="1"/>
    <xf numFmtId="172" fontId="0" fillId="0" borderId="0" xfId="0" applyNumberFormat="1" applyAlignment="1">
      <alignment horizontal="left"/>
    </xf>
    <xf numFmtId="172" fontId="5" fillId="0" borderId="0" xfId="0" applyNumberFormat="1" applyFont="1" applyAlignment="1">
      <alignment horizontal="left"/>
    </xf>
    <xf numFmtId="0" fontId="0" fillId="0" borderId="0" xfId="0" applyAlignment="1">
      <alignment horizontal="left" vertical="top"/>
    </xf>
    <xf numFmtId="0" fontId="16" fillId="0" borderId="0" xfId="0" applyFont="1">
      <alignment vertical="top"/>
    </xf>
    <xf numFmtId="0" fontId="15" fillId="0" borderId="0" xfId="0" applyFont="1">
      <alignment vertical="top"/>
    </xf>
    <xf numFmtId="0" fontId="4" fillId="0" borderId="0" xfId="0" applyFont="1">
      <alignment vertical="top"/>
    </xf>
    <xf numFmtId="0" fontId="14" fillId="0" borderId="0" xfId="0" applyFont="1">
      <alignment vertical="top"/>
    </xf>
    <xf numFmtId="0" fontId="8" fillId="0" borderId="0" xfId="0" applyFont="1">
      <alignment vertical="top"/>
    </xf>
    <xf numFmtId="0" fontId="7" fillId="0" borderId="0" xfId="0" applyFont="1">
      <alignment vertical="top"/>
    </xf>
    <xf numFmtId="22" fontId="11" fillId="0" borderId="0" xfId="0" applyNumberFormat="1" applyFont="1">
      <alignment vertical="top"/>
    </xf>
    <xf numFmtId="0" fontId="0" fillId="0" borderId="8" xfId="0" applyBorder="1">
      <alignment vertical="top"/>
    </xf>
    <xf numFmtId="0" fontId="0" fillId="0" borderId="9" xfId="0" applyBorder="1">
      <alignment vertical="top"/>
    </xf>
    <xf numFmtId="0" fontId="11" fillId="0" borderId="0" xfId="0" applyFont="1">
      <alignment vertical="top"/>
    </xf>
    <xf numFmtId="0" fontId="11" fillId="0" borderId="0" xfId="0" applyFont="1" applyAlignment="1">
      <alignment horizontal="left" vertical="top"/>
    </xf>
    <xf numFmtId="0" fontId="17" fillId="0" borderId="0" xfId="0" applyFont="1" applyAlignment="1">
      <alignment vertical="top"/>
    </xf>
    <xf numFmtId="0" fontId="15" fillId="0" borderId="0" xfId="0" applyFont="1" applyAlignment="1">
      <alignment horizontal="left"/>
    </xf>
    <xf numFmtId="0" fontId="5" fillId="0" borderId="0" xfId="0" applyFont="1">
      <alignment vertical="top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8" fillId="0" borderId="0" xfId="0" applyFont="1">
      <alignment vertical="top"/>
    </xf>
    <xf numFmtId="0" fontId="18" fillId="0" borderId="0" xfId="0" applyFont="1" applyAlignment="1">
      <alignment horizontal="left"/>
    </xf>
    <xf numFmtId="0" fontId="19" fillId="0" borderId="0" xfId="0" applyFont="1" applyAlignment="1">
      <alignment horizontal="left"/>
    </xf>
    <xf numFmtId="0" fontId="0" fillId="0" borderId="11" xfId="0" applyBorder="1" applyAlignment="1">
      <alignment horizontal="center"/>
    </xf>
    <xf numFmtId="0" fontId="0" fillId="0" borderId="12" xfId="0" applyBorder="1">
      <alignment vertical="top"/>
    </xf>
    <xf numFmtId="0" fontId="0" fillId="0" borderId="13" xfId="0" applyBorder="1" applyAlignment="1">
      <alignment horizontal="center"/>
    </xf>
    <xf numFmtId="0" fontId="0" fillId="0" borderId="14" xfId="0" applyBorder="1">
      <alignment vertical="top"/>
    </xf>
    <xf numFmtId="0" fontId="20" fillId="0" borderId="0" xfId="38" applyAlignment="1" applyProtection="1">
      <alignment horizontal="left"/>
    </xf>
    <xf numFmtId="0" fontId="0" fillId="0" borderId="15" xfId="0" applyBorder="1" applyAlignment="1">
      <alignment horizontal="center"/>
    </xf>
    <xf numFmtId="0" fontId="0" fillId="0" borderId="16" xfId="0" applyBorder="1">
      <alignment vertical="top"/>
    </xf>
    <xf numFmtId="0" fontId="0" fillId="0" borderId="0" xfId="0" quotePrefix="1">
      <alignment vertical="top"/>
    </xf>
    <xf numFmtId="0" fontId="5" fillId="24" borderId="17" xfId="0" applyFont="1" applyFill="1" applyBorder="1" applyAlignment="1">
      <alignment horizontal="left" vertical="top" wrapText="1" indent="1"/>
    </xf>
    <xf numFmtId="0" fontId="5" fillId="24" borderId="17" xfId="0" applyFont="1" applyFill="1" applyBorder="1" applyAlignment="1">
      <alignment horizontal="center" vertical="top" wrapText="1"/>
    </xf>
    <xf numFmtId="0" fontId="5" fillId="24" borderId="17" xfId="0" applyFont="1" applyFill="1" applyBorder="1" applyAlignment="1">
      <alignment horizontal="right" vertical="top" wrapText="1"/>
    </xf>
    <xf numFmtId="0" fontId="20" fillId="24" borderId="17" xfId="38" applyFill="1" applyBorder="1" applyAlignment="1" applyProtection="1">
      <alignment horizontal="right" vertical="top" wrapText="1"/>
    </xf>
    <xf numFmtId="0" fontId="12" fillId="0" borderId="0" xfId="0" applyFont="1">
      <alignment vertical="top"/>
    </xf>
    <xf numFmtId="0" fontId="12" fillId="0" borderId="0" xfId="0" applyFont="1" applyAlignment="1">
      <alignment horizontal="left"/>
    </xf>
    <xf numFmtId="0" fontId="21" fillId="0" borderId="0" xfId="0" applyFont="1" applyAlignment="1"/>
    <xf numFmtId="172" fontId="12" fillId="0" borderId="0" xfId="0" applyNumberFormat="1" applyFont="1" applyAlignment="1">
      <alignment horizontal="left"/>
    </xf>
    <xf numFmtId="0" fontId="37" fillId="0" borderId="0" xfId="42" applyFont="1" applyAlignment="1">
      <alignment wrapText="1"/>
    </xf>
    <xf numFmtId="0" fontId="37" fillId="0" borderId="0" xfId="42" applyFont="1" applyAlignment="1">
      <alignment horizontal="center" wrapText="1"/>
    </xf>
    <xf numFmtId="0" fontId="37" fillId="0" borderId="0" xfId="42" applyFont="1" applyAlignment="1">
      <alignment horizontal="left" wrapText="1"/>
    </xf>
    <xf numFmtId="0" fontId="0" fillId="0" borderId="0" xfId="0" applyNumberFormat="1" applyAlignment="1">
      <alignment horizontal="left"/>
    </xf>
    <xf numFmtId="0" fontId="5" fillId="0" borderId="0" xfId="0" applyNumberFormat="1" applyFont="1" applyAlignment="1">
      <alignment horizontal="left"/>
    </xf>
    <xf numFmtId="0" fontId="0" fillId="0" borderId="0" xfId="0" applyNumberFormat="1" applyAlignment="1">
      <alignment horizontal="left" wrapText="1"/>
    </xf>
    <xf numFmtId="0" fontId="5" fillId="0" borderId="0" xfId="0" applyNumberFormat="1" applyFont="1" applyAlignment="1">
      <alignment horizontal="left" vertical="center"/>
    </xf>
    <xf numFmtId="0" fontId="18" fillId="0" borderId="0" xfId="0" applyNumberFormat="1" applyFont="1" applyAlignment="1">
      <alignment horizontal="left"/>
    </xf>
    <xf numFmtId="0" fontId="12" fillId="0" borderId="0" xfId="0" applyNumberFormat="1" applyFont="1" applyAlignment="1">
      <alignment horizontal="left"/>
    </xf>
    <xf numFmtId="0" fontId="37" fillId="0" borderId="0" xfId="42" applyNumberFormat="1" applyFont="1" applyAlignment="1">
      <alignment horizontal="left" wrapText="1"/>
    </xf>
    <xf numFmtId="0" fontId="38" fillId="0" borderId="10" xfId="0" applyFont="1" applyBorder="1" applyAlignment="1">
      <alignment horizontal="center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Hyperlink" xfId="38" builtinId="8"/>
    <cellStyle name="Input" xfId="39" builtinId="20" customBuiltin="1"/>
    <cellStyle name="Linked Cell" xfId="40" builtinId="24" customBuiltin="1"/>
    <cellStyle name="Neutral" xfId="41" builtinId="28" customBuiltin="1"/>
    <cellStyle name="Normal" xfId="0" builtinId="0"/>
    <cellStyle name="Normal_A" xfId="42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V0731 Her - O-C Diagr.</a:t>
            </a:r>
          </a:p>
        </c:rich>
      </c:tx>
      <c:layout>
        <c:manualLayout>
          <c:xMode val="edge"/>
          <c:yMode val="edge"/>
          <c:x val="0.37774374680959671"/>
          <c:y val="1.582278481012658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719754977029096"/>
          <c:y val="8.860773185282933E-2"/>
          <c:w val="0.86064318529862172"/>
          <c:h val="0.72468466408206844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Active!$F$21:$F$992</c:f>
              <c:numCache>
                <c:formatCode>General</c:formatCode>
                <c:ptCount val="972"/>
                <c:pt idx="0">
                  <c:v>0</c:v>
                </c:pt>
                <c:pt idx="1">
                  <c:v>43614</c:v>
                </c:pt>
                <c:pt idx="2">
                  <c:v>43760.5</c:v>
                </c:pt>
                <c:pt idx="3">
                  <c:v>43763</c:v>
                </c:pt>
                <c:pt idx="4">
                  <c:v>43764</c:v>
                </c:pt>
                <c:pt idx="5">
                  <c:v>43927</c:v>
                </c:pt>
                <c:pt idx="6">
                  <c:v>44110</c:v>
                </c:pt>
                <c:pt idx="7">
                  <c:v>49160</c:v>
                </c:pt>
                <c:pt idx="8">
                  <c:v>52389</c:v>
                </c:pt>
                <c:pt idx="9">
                  <c:v>52401</c:v>
                </c:pt>
                <c:pt idx="10">
                  <c:v>52429</c:v>
                </c:pt>
                <c:pt idx="11">
                  <c:v>53096</c:v>
                </c:pt>
                <c:pt idx="12">
                  <c:v>53101</c:v>
                </c:pt>
                <c:pt idx="13">
                  <c:v>53115</c:v>
                </c:pt>
                <c:pt idx="14">
                  <c:v>54195</c:v>
                </c:pt>
                <c:pt idx="15">
                  <c:v>54268</c:v>
                </c:pt>
                <c:pt idx="16">
                  <c:v>54282</c:v>
                </c:pt>
                <c:pt idx="17">
                  <c:v>55825</c:v>
                </c:pt>
                <c:pt idx="18">
                  <c:v>57584</c:v>
                </c:pt>
                <c:pt idx="19">
                  <c:v>57936</c:v>
                </c:pt>
                <c:pt idx="20">
                  <c:v>60938</c:v>
                </c:pt>
                <c:pt idx="21">
                  <c:v>62698</c:v>
                </c:pt>
                <c:pt idx="22">
                  <c:v>63053</c:v>
                </c:pt>
                <c:pt idx="23">
                  <c:v>64640</c:v>
                </c:pt>
                <c:pt idx="24">
                  <c:v>65929</c:v>
                </c:pt>
                <c:pt idx="25">
                  <c:v>65952</c:v>
                </c:pt>
                <c:pt idx="26">
                  <c:v>66038</c:v>
                </c:pt>
                <c:pt idx="27">
                  <c:v>66182</c:v>
                </c:pt>
                <c:pt idx="28">
                  <c:v>68217</c:v>
                </c:pt>
                <c:pt idx="29">
                  <c:v>72781</c:v>
                </c:pt>
              </c:numCache>
            </c:numRef>
          </c:xVal>
          <c:yVal>
            <c:numRef>
              <c:f>Active!$H$21:$H$992</c:f>
              <c:numCache>
                <c:formatCode>0.0000</c:formatCode>
                <c:ptCount val="972"/>
                <c:pt idx="2">
                  <c:v>8.3579999991343357E-3</c:v>
                </c:pt>
                <c:pt idx="3">
                  <c:v>1.7348000001220498E-2</c:v>
                </c:pt>
                <c:pt idx="4">
                  <c:v>1.7343999999866355E-2</c:v>
                </c:pt>
                <c:pt idx="6">
                  <c:v>1.0559999995166436E-2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02B-4E04-BE6C-B391CC92CE7C}"/>
            </c:ext>
          </c:extLst>
        </c:ser>
        <c:ser>
          <c:idx val="1"/>
          <c:order val="1"/>
          <c:tx>
            <c:strRef>
              <c:f>Active!$I$20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Active!$D$22:$D$44</c:f>
                <c:numCache>
                  <c:formatCode>General</c:formatCode>
                  <c:ptCount val="23"/>
                  <c:pt idx="0">
                    <c:v>1.5E-3</c:v>
                  </c:pt>
                  <c:pt idx="4">
                    <c:v>8.9999999999999998E-4</c:v>
                  </c:pt>
                  <c:pt idx="6">
                    <c:v>8.9999999999999998E-4</c:v>
                  </c:pt>
                  <c:pt idx="7">
                    <c:v>6.9999999999999999E-4</c:v>
                  </c:pt>
                  <c:pt idx="8">
                    <c:v>1E-3</c:v>
                  </c:pt>
                  <c:pt idx="9">
                    <c:v>8.0000000000000004E-4</c:v>
                  </c:pt>
                  <c:pt idx="10">
                    <c:v>2.0000000000000001E-4</c:v>
                  </c:pt>
                  <c:pt idx="11">
                    <c:v>4.0000000000000002E-4</c:v>
                  </c:pt>
                  <c:pt idx="17">
                    <c:v>3.5000000000000001E-3</c:v>
                  </c:pt>
                  <c:pt idx="19">
                    <c:v>8.0000000000000004E-4</c:v>
                  </c:pt>
                  <c:pt idx="20">
                    <c:v>2.0000000000000001E-4</c:v>
                  </c:pt>
                  <c:pt idx="21">
                    <c:v>2.3E-3</c:v>
                  </c:pt>
                  <c:pt idx="22">
                    <c:v>6.9999999999999999E-4</c:v>
                  </c:pt>
                </c:numCache>
              </c:numRef>
            </c:plus>
            <c:minus>
              <c:numLit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2.2000000000000001E-3</c:v>
                </c:pt>
              </c:numLit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0</c:v>
                </c:pt>
                <c:pt idx="1">
                  <c:v>43614</c:v>
                </c:pt>
                <c:pt idx="2">
                  <c:v>43760.5</c:v>
                </c:pt>
                <c:pt idx="3">
                  <c:v>43763</c:v>
                </c:pt>
                <c:pt idx="4">
                  <c:v>43764</c:v>
                </c:pt>
                <c:pt idx="5">
                  <c:v>43927</c:v>
                </c:pt>
                <c:pt idx="6">
                  <c:v>44110</c:v>
                </c:pt>
                <c:pt idx="7">
                  <c:v>49160</c:v>
                </c:pt>
                <c:pt idx="8">
                  <c:v>52389</c:v>
                </c:pt>
                <c:pt idx="9">
                  <c:v>52401</c:v>
                </c:pt>
                <c:pt idx="10">
                  <c:v>52429</c:v>
                </c:pt>
                <c:pt idx="11">
                  <c:v>53096</c:v>
                </c:pt>
                <c:pt idx="12">
                  <c:v>53101</c:v>
                </c:pt>
                <c:pt idx="13">
                  <c:v>53115</c:v>
                </c:pt>
                <c:pt idx="14">
                  <c:v>54195</c:v>
                </c:pt>
                <c:pt idx="15">
                  <c:v>54268</c:v>
                </c:pt>
                <c:pt idx="16">
                  <c:v>54282</c:v>
                </c:pt>
                <c:pt idx="17">
                  <c:v>55825</c:v>
                </c:pt>
                <c:pt idx="18">
                  <c:v>57584</c:v>
                </c:pt>
                <c:pt idx="19">
                  <c:v>57936</c:v>
                </c:pt>
                <c:pt idx="20">
                  <c:v>60938</c:v>
                </c:pt>
                <c:pt idx="21">
                  <c:v>62698</c:v>
                </c:pt>
                <c:pt idx="22">
                  <c:v>63053</c:v>
                </c:pt>
                <c:pt idx="23">
                  <c:v>64640</c:v>
                </c:pt>
                <c:pt idx="24">
                  <c:v>65929</c:v>
                </c:pt>
                <c:pt idx="25">
                  <c:v>65952</c:v>
                </c:pt>
                <c:pt idx="26">
                  <c:v>66038</c:v>
                </c:pt>
                <c:pt idx="27">
                  <c:v>66182</c:v>
                </c:pt>
                <c:pt idx="28">
                  <c:v>68217</c:v>
                </c:pt>
                <c:pt idx="29">
                  <c:v>72781</c:v>
                </c:pt>
              </c:numCache>
            </c:numRef>
          </c:xVal>
          <c:yVal>
            <c:numRef>
              <c:f>Active!$I$21:$I$992</c:f>
              <c:numCache>
                <c:formatCode>0.0000</c:formatCode>
                <c:ptCount val="972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02B-4E04-BE6C-B391CC92CE7C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  <c:pt idx="1">
                    <c:v>1.5E-3</c:v>
                  </c:pt>
                  <c:pt idx="5">
                    <c:v>8.9999999999999998E-4</c:v>
                  </c:pt>
                  <c:pt idx="7">
                    <c:v>8.9999999999999998E-4</c:v>
                  </c:pt>
                  <c:pt idx="8">
                    <c:v>6.9999999999999999E-4</c:v>
                  </c:pt>
                  <c:pt idx="9">
                    <c:v>1E-3</c:v>
                  </c:pt>
                  <c:pt idx="10">
                    <c:v>8.0000000000000004E-4</c:v>
                  </c:pt>
                  <c:pt idx="11">
                    <c:v>2.0000000000000001E-4</c:v>
                  </c:pt>
                  <c:pt idx="12">
                    <c:v>4.0000000000000002E-4</c:v>
                  </c:pt>
                  <c:pt idx="18">
                    <c:v>3.5000000000000001E-3</c:v>
                  </c:pt>
                  <c:pt idx="20">
                    <c:v>8.0000000000000004E-4</c:v>
                  </c:pt>
                  <c:pt idx="21">
                    <c:v>2.0000000000000001E-4</c:v>
                  </c:pt>
                  <c:pt idx="22">
                    <c:v>2.3E-3</c:v>
                  </c:pt>
                  <c:pt idx="23">
                    <c:v>6.9999999999999999E-4</c:v>
                  </c:pt>
                </c:numCache>
              </c:numRef>
            </c:plus>
            <c:min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  <c:pt idx="1">
                    <c:v>1.5E-3</c:v>
                  </c:pt>
                  <c:pt idx="5">
                    <c:v>8.9999999999999998E-4</c:v>
                  </c:pt>
                  <c:pt idx="7">
                    <c:v>8.9999999999999998E-4</c:v>
                  </c:pt>
                  <c:pt idx="8">
                    <c:v>6.9999999999999999E-4</c:v>
                  </c:pt>
                  <c:pt idx="9">
                    <c:v>1E-3</c:v>
                  </c:pt>
                  <c:pt idx="10">
                    <c:v>8.0000000000000004E-4</c:v>
                  </c:pt>
                  <c:pt idx="11">
                    <c:v>2.0000000000000001E-4</c:v>
                  </c:pt>
                  <c:pt idx="12">
                    <c:v>4.0000000000000002E-4</c:v>
                  </c:pt>
                  <c:pt idx="18">
                    <c:v>3.5000000000000001E-3</c:v>
                  </c:pt>
                  <c:pt idx="20">
                    <c:v>8.0000000000000004E-4</c:v>
                  </c:pt>
                  <c:pt idx="21">
                    <c:v>2.0000000000000001E-4</c:v>
                  </c:pt>
                  <c:pt idx="22">
                    <c:v>2.3E-3</c:v>
                  </c:pt>
                  <c:pt idx="23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0</c:v>
                </c:pt>
                <c:pt idx="1">
                  <c:v>43614</c:v>
                </c:pt>
                <c:pt idx="2">
                  <c:v>43760.5</c:v>
                </c:pt>
                <c:pt idx="3">
                  <c:v>43763</c:v>
                </c:pt>
                <c:pt idx="4">
                  <c:v>43764</c:v>
                </c:pt>
                <c:pt idx="5">
                  <c:v>43927</c:v>
                </c:pt>
                <c:pt idx="6">
                  <c:v>44110</c:v>
                </c:pt>
                <c:pt idx="7">
                  <c:v>49160</c:v>
                </c:pt>
                <c:pt idx="8">
                  <c:v>52389</c:v>
                </c:pt>
                <c:pt idx="9">
                  <c:v>52401</c:v>
                </c:pt>
                <c:pt idx="10">
                  <c:v>52429</c:v>
                </c:pt>
                <c:pt idx="11">
                  <c:v>53096</c:v>
                </c:pt>
                <c:pt idx="12">
                  <c:v>53101</c:v>
                </c:pt>
                <c:pt idx="13">
                  <c:v>53115</c:v>
                </c:pt>
                <c:pt idx="14">
                  <c:v>54195</c:v>
                </c:pt>
                <c:pt idx="15">
                  <c:v>54268</c:v>
                </c:pt>
                <c:pt idx="16">
                  <c:v>54282</c:v>
                </c:pt>
                <c:pt idx="17">
                  <c:v>55825</c:v>
                </c:pt>
                <c:pt idx="18">
                  <c:v>57584</c:v>
                </c:pt>
                <c:pt idx="19">
                  <c:v>57936</c:v>
                </c:pt>
                <c:pt idx="20">
                  <c:v>60938</c:v>
                </c:pt>
                <c:pt idx="21">
                  <c:v>62698</c:v>
                </c:pt>
                <c:pt idx="22">
                  <c:v>63053</c:v>
                </c:pt>
                <c:pt idx="23">
                  <c:v>64640</c:v>
                </c:pt>
                <c:pt idx="24">
                  <c:v>65929</c:v>
                </c:pt>
                <c:pt idx="25">
                  <c:v>65952</c:v>
                </c:pt>
                <c:pt idx="26">
                  <c:v>66038</c:v>
                </c:pt>
                <c:pt idx="27">
                  <c:v>66182</c:v>
                </c:pt>
                <c:pt idx="28">
                  <c:v>68217</c:v>
                </c:pt>
                <c:pt idx="29">
                  <c:v>72781</c:v>
                </c:pt>
              </c:numCache>
            </c:numRef>
          </c:xVal>
          <c:yVal>
            <c:numRef>
              <c:f>Active!$J$21:$J$992</c:f>
              <c:numCache>
                <c:formatCode>0.0000</c:formatCode>
                <c:ptCount val="972"/>
                <c:pt idx="8">
                  <c:v>1.5643999999156222E-2</c:v>
                </c:pt>
                <c:pt idx="9">
                  <c:v>1.5095999995537568E-2</c:v>
                </c:pt>
                <c:pt idx="15">
                  <c:v>1.3727999998081941E-2</c:v>
                </c:pt>
                <c:pt idx="16">
                  <c:v>1.6371999998227693E-2</c:v>
                </c:pt>
                <c:pt idx="17">
                  <c:v>1.7100000004575122E-2</c:v>
                </c:pt>
                <c:pt idx="18">
                  <c:v>6.3640000007580966E-3</c:v>
                </c:pt>
                <c:pt idx="19">
                  <c:v>1.485599999432452E-2</c:v>
                </c:pt>
                <c:pt idx="20">
                  <c:v>9.8479999942355789E-3</c:v>
                </c:pt>
                <c:pt idx="22">
                  <c:v>4.8880000031203963E-3</c:v>
                </c:pt>
                <c:pt idx="24">
                  <c:v>1.6839999952935614E-3</c:v>
                </c:pt>
                <c:pt idx="25">
                  <c:v>3.2920000012381934E-3</c:v>
                </c:pt>
                <c:pt idx="27">
                  <c:v>-4.328000002715271E-3</c:v>
                </c:pt>
                <c:pt idx="28">
                  <c:v>-1.0267999998177402E-2</c:v>
                </c:pt>
                <c:pt idx="29">
                  <c:v>-2.4824000000080559E-2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02B-4E04-BE6C-B391CC92CE7C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Active!$F$21:$F$992</c:f>
              <c:numCache>
                <c:formatCode>General</c:formatCode>
                <c:ptCount val="972"/>
                <c:pt idx="0">
                  <c:v>0</c:v>
                </c:pt>
                <c:pt idx="1">
                  <c:v>43614</c:v>
                </c:pt>
                <c:pt idx="2">
                  <c:v>43760.5</c:v>
                </c:pt>
                <c:pt idx="3">
                  <c:v>43763</c:v>
                </c:pt>
                <c:pt idx="4">
                  <c:v>43764</c:v>
                </c:pt>
                <c:pt idx="5">
                  <c:v>43927</c:v>
                </c:pt>
                <c:pt idx="6">
                  <c:v>44110</c:v>
                </c:pt>
                <c:pt idx="7">
                  <c:v>49160</c:v>
                </c:pt>
                <c:pt idx="8">
                  <c:v>52389</c:v>
                </c:pt>
                <c:pt idx="9">
                  <c:v>52401</c:v>
                </c:pt>
                <c:pt idx="10">
                  <c:v>52429</c:v>
                </c:pt>
                <c:pt idx="11">
                  <c:v>53096</c:v>
                </c:pt>
                <c:pt idx="12">
                  <c:v>53101</c:v>
                </c:pt>
                <c:pt idx="13">
                  <c:v>53115</c:v>
                </c:pt>
                <c:pt idx="14">
                  <c:v>54195</c:v>
                </c:pt>
                <c:pt idx="15">
                  <c:v>54268</c:v>
                </c:pt>
                <c:pt idx="16">
                  <c:v>54282</c:v>
                </c:pt>
                <c:pt idx="17">
                  <c:v>55825</c:v>
                </c:pt>
                <c:pt idx="18">
                  <c:v>57584</c:v>
                </c:pt>
                <c:pt idx="19">
                  <c:v>57936</c:v>
                </c:pt>
                <c:pt idx="20">
                  <c:v>60938</c:v>
                </c:pt>
                <c:pt idx="21">
                  <c:v>62698</c:v>
                </c:pt>
                <c:pt idx="22">
                  <c:v>63053</c:v>
                </c:pt>
                <c:pt idx="23">
                  <c:v>64640</c:v>
                </c:pt>
                <c:pt idx="24">
                  <c:v>65929</c:v>
                </c:pt>
                <c:pt idx="25">
                  <c:v>65952</c:v>
                </c:pt>
                <c:pt idx="26">
                  <c:v>66038</c:v>
                </c:pt>
                <c:pt idx="27">
                  <c:v>66182</c:v>
                </c:pt>
                <c:pt idx="28">
                  <c:v>68217</c:v>
                </c:pt>
                <c:pt idx="29">
                  <c:v>72781</c:v>
                </c:pt>
              </c:numCache>
            </c:numRef>
          </c:xVal>
          <c:yVal>
            <c:numRef>
              <c:f>Active!$K$21:$K$992</c:f>
              <c:numCache>
                <c:formatCode>0.0000</c:formatCode>
                <c:ptCount val="972"/>
                <c:pt idx="1">
                  <c:v>1.724399999511661E-2</c:v>
                </c:pt>
                <c:pt idx="5">
                  <c:v>1.4291999992565252E-2</c:v>
                </c:pt>
                <c:pt idx="7">
                  <c:v>1.5559999999823049E-2</c:v>
                </c:pt>
                <c:pt idx="8">
                  <c:v>1.5643999999156222E-2</c:v>
                </c:pt>
                <c:pt idx="10">
                  <c:v>1.5983999997843057E-2</c:v>
                </c:pt>
                <c:pt idx="11">
                  <c:v>1.8415999991702847E-2</c:v>
                </c:pt>
                <c:pt idx="12">
                  <c:v>1.3395999994827434E-2</c:v>
                </c:pt>
                <c:pt idx="13">
                  <c:v>1.5639999997802079E-2</c:v>
                </c:pt>
                <c:pt idx="14">
                  <c:v>1.4419999999518041E-2</c:v>
                </c:pt>
                <c:pt idx="23">
                  <c:v>-9.6000000485219061E-4</c:v>
                </c:pt>
                <c:pt idx="26">
                  <c:v>-4.8883616327657364E-3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02B-4E04-BE6C-B391CC92CE7C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Active!$F$21:$F$992</c:f>
              <c:numCache>
                <c:formatCode>General</c:formatCode>
                <c:ptCount val="972"/>
                <c:pt idx="0">
                  <c:v>0</c:v>
                </c:pt>
                <c:pt idx="1">
                  <c:v>43614</c:v>
                </c:pt>
                <c:pt idx="2">
                  <c:v>43760.5</c:v>
                </c:pt>
                <c:pt idx="3">
                  <c:v>43763</c:v>
                </c:pt>
                <c:pt idx="4">
                  <c:v>43764</c:v>
                </c:pt>
                <c:pt idx="5">
                  <c:v>43927</c:v>
                </c:pt>
                <c:pt idx="6">
                  <c:v>44110</c:v>
                </c:pt>
                <c:pt idx="7">
                  <c:v>49160</c:v>
                </c:pt>
                <c:pt idx="8">
                  <c:v>52389</c:v>
                </c:pt>
                <c:pt idx="9">
                  <c:v>52401</c:v>
                </c:pt>
                <c:pt idx="10">
                  <c:v>52429</c:v>
                </c:pt>
                <c:pt idx="11">
                  <c:v>53096</c:v>
                </c:pt>
                <c:pt idx="12">
                  <c:v>53101</c:v>
                </c:pt>
                <c:pt idx="13">
                  <c:v>53115</c:v>
                </c:pt>
                <c:pt idx="14">
                  <c:v>54195</c:v>
                </c:pt>
                <c:pt idx="15">
                  <c:v>54268</c:v>
                </c:pt>
                <c:pt idx="16">
                  <c:v>54282</c:v>
                </c:pt>
                <c:pt idx="17">
                  <c:v>55825</c:v>
                </c:pt>
                <c:pt idx="18">
                  <c:v>57584</c:v>
                </c:pt>
                <c:pt idx="19">
                  <c:v>57936</c:v>
                </c:pt>
                <c:pt idx="20">
                  <c:v>60938</c:v>
                </c:pt>
                <c:pt idx="21">
                  <c:v>62698</c:v>
                </c:pt>
                <c:pt idx="22">
                  <c:v>63053</c:v>
                </c:pt>
                <c:pt idx="23">
                  <c:v>64640</c:v>
                </c:pt>
                <c:pt idx="24">
                  <c:v>65929</c:v>
                </c:pt>
                <c:pt idx="25">
                  <c:v>65952</c:v>
                </c:pt>
                <c:pt idx="26">
                  <c:v>66038</c:v>
                </c:pt>
                <c:pt idx="27">
                  <c:v>66182</c:v>
                </c:pt>
                <c:pt idx="28">
                  <c:v>68217</c:v>
                </c:pt>
                <c:pt idx="29">
                  <c:v>72781</c:v>
                </c:pt>
              </c:numCache>
            </c:numRef>
          </c:xVal>
          <c:yVal>
            <c:numRef>
              <c:f>Active!$L$21:$L$992</c:f>
              <c:numCache>
                <c:formatCode>0.0000</c:formatCode>
                <c:ptCount val="972"/>
                <c:pt idx="14">
                  <c:v>1.4419999999518041E-2</c:v>
                </c:pt>
                <c:pt idx="26">
                  <c:v>-4.8883616327657364E-3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02B-4E04-BE6C-B391CC92CE7C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Active!$F$21:$F$992</c:f>
              <c:numCache>
                <c:formatCode>General</c:formatCode>
                <c:ptCount val="972"/>
                <c:pt idx="0">
                  <c:v>0</c:v>
                </c:pt>
                <c:pt idx="1">
                  <c:v>43614</c:v>
                </c:pt>
                <c:pt idx="2">
                  <c:v>43760.5</c:v>
                </c:pt>
                <c:pt idx="3">
                  <c:v>43763</c:v>
                </c:pt>
                <c:pt idx="4">
                  <c:v>43764</c:v>
                </c:pt>
                <c:pt idx="5">
                  <c:v>43927</c:v>
                </c:pt>
                <c:pt idx="6">
                  <c:v>44110</c:v>
                </c:pt>
                <c:pt idx="7">
                  <c:v>49160</c:v>
                </c:pt>
                <c:pt idx="8">
                  <c:v>52389</c:v>
                </c:pt>
                <c:pt idx="9">
                  <c:v>52401</c:v>
                </c:pt>
                <c:pt idx="10">
                  <c:v>52429</c:v>
                </c:pt>
                <c:pt idx="11">
                  <c:v>53096</c:v>
                </c:pt>
                <c:pt idx="12">
                  <c:v>53101</c:v>
                </c:pt>
                <c:pt idx="13">
                  <c:v>53115</c:v>
                </c:pt>
                <c:pt idx="14">
                  <c:v>54195</c:v>
                </c:pt>
                <c:pt idx="15">
                  <c:v>54268</c:v>
                </c:pt>
                <c:pt idx="16">
                  <c:v>54282</c:v>
                </c:pt>
                <c:pt idx="17">
                  <c:v>55825</c:v>
                </c:pt>
                <c:pt idx="18">
                  <c:v>57584</c:v>
                </c:pt>
                <c:pt idx="19">
                  <c:v>57936</c:v>
                </c:pt>
                <c:pt idx="20">
                  <c:v>60938</c:v>
                </c:pt>
                <c:pt idx="21">
                  <c:v>62698</c:v>
                </c:pt>
                <c:pt idx="22">
                  <c:v>63053</c:v>
                </c:pt>
                <c:pt idx="23">
                  <c:v>64640</c:v>
                </c:pt>
                <c:pt idx="24">
                  <c:v>65929</c:v>
                </c:pt>
                <c:pt idx="25">
                  <c:v>65952</c:v>
                </c:pt>
                <c:pt idx="26">
                  <c:v>66038</c:v>
                </c:pt>
                <c:pt idx="27">
                  <c:v>66182</c:v>
                </c:pt>
                <c:pt idx="28">
                  <c:v>68217</c:v>
                </c:pt>
                <c:pt idx="29">
                  <c:v>72781</c:v>
                </c:pt>
              </c:numCache>
            </c:numRef>
          </c:xVal>
          <c:yVal>
            <c:numRef>
              <c:f>Active!$M$21:$M$992</c:f>
              <c:numCache>
                <c:formatCode>0.0000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02B-4E04-BE6C-B391CC92CE7C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errBars>
            <c:errDir val="y"/>
            <c:errBarType val="both"/>
            <c:errValType val="cust"/>
            <c:noEndCap val="0"/>
            <c:plus>
              <c:numRef>
                <c:f>Active!$D$21:$D$51</c:f>
                <c:numCache>
                  <c:formatCode>General</c:formatCode>
                  <c:ptCount val="31"/>
                  <c:pt idx="0">
                    <c:v>0</c:v>
                  </c:pt>
                  <c:pt idx="1">
                    <c:v>1.5E-3</c:v>
                  </c:pt>
                  <c:pt idx="5">
                    <c:v>8.9999999999999998E-4</c:v>
                  </c:pt>
                  <c:pt idx="7">
                    <c:v>8.9999999999999998E-4</c:v>
                  </c:pt>
                  <c:pt idx="8">
                    <c:v>6.9999999999999999E-4</c:v>
                  </c:pt>
                  <c:pt idx="9">
                    <c:v>1E-3</c:v>
                  </c:pt>
                  <c:pt idx="10">
                    <c:v>8.0000000000000004E-4</c:v>
                  </c:pt>
                  <c:pt idx="11">
                    <c:v>2.0000000000000001E-4</c:v>
                  </c:pt>
                  <c:pt idx="12">
                    <c:v>4.0000000000000002E-4</c:v>
                  </c:pt>
                  <c:pt idx="18">
                    <c:v>3.5000000000000001E-3</c:v>
                  </c:pt>
                  <c:pt idx="20">
                    <c:v>8.0000000000000004E-4</c:v>
                  </c:pt>
                  <c:pt idx="21">
                    <c:v>2.0000000000000001E-4</c:v>
                  </c:pt>
                  <c:pt idx="22">
                    <c:v>2.3E-3</c:v>
                  </c:pt>
                  <c:pt idx="23">
                    <c:v>6.9999999999999999E-4</c:v>
                  </c:pt>
                  <c:pt idx="24">
                    <c:v>1.6000000000000001E-3</c:v>
                  </c:pt>
                  <c:pt idx="25">
                    <c:v>1.9E-3</c:v>
                  </c:pt>
                  <c:pt idx="26">
                    <c:v>2.9999999999999997E-4</c:v>
                  </c:pt>
                  <c:pt idx="27">
                    <c:v>1.4E-3</c:v>
                  </c:pt>
                  <c:pt idx="28">
                    <c:v>8.9999999999999998E-4</c:v>
                  </c:pt>
                  <c:pt idx="29">
                    <c:v>2.9999999999999997E-4</c:v>
                  </c:pt>
                </c:numCache>
              </c:numRef>
            </c:plus>
            <c:minus>
              <c:numRef>
                <c:f>Active!$D$21:$D$51</c:f>
                <c:numCache>
                  <c:formatCode>General</c:formatCode>
                  <c:ptCount val="31"/>
                  <c:pt idx="0">
                    <c:v>0</c:v>
                  </c:pt>
                  <c:pt idx="1">
                    <c:v>1.5E-3</c:v>
                  </c:pt>
                  <c:pt idx="5">
                    <c:v>8.9999999999999998E-4</c:v>
                  </c:pt>
                  <c:pt idx="7">
                    <c:v>8.9999999999999998E-4</c:v>
                  </c:pt>
                  <c:pt idx="8">
                    <c:v>6.9999999999999999E-4</c:v>
                  </c:pt>
                  <c:pt idx="9">
                    <c:v>1E-3</c:v>
                  </c:pt>
                  <c:pt idx="10">
                    <c:v>8.0000000000000004E-4</c:v>
                  </c:pt>
                  <c:pt idx="11">
                    <c:v>2.0000000000000001E-4</c:v>
                  </c:pt>
                  <c:pt idx="12">
                    <c:v>4.0000000000000002E-4</c:v>
                  </c:pt>
                  <c:pt idx="18">
                    <c:v>3.5000000000000001E-3</c:v>
                  </c:pt>
                  <c:pt idx="20">
                    <c:v>8.0000000000000004E-4</c:v>
                  </c:pt>
                  <c:pt idx="21">
                    <c:v>2.0000000000000001E-4</c:v>
                  </c:pt>
                  <c:pt idx="22">
                    <c:v>2.3E-3</c:v>
                  </c:pt>
                  <c:pt idx="23">
                    <c:v>6.9999999999999999E-4</c:v>
                  </c:pt>
                  <c:pt idx="24">
                    <c:v>1.6000000000000001E-3</c:v>
                  </c:pt>
                  <c:pt idx="25">
                    <c:v>1.9E-3</c:v>
                  </c:pt>
                  <c:pt idx="26">
                    <c:v>2.9999999999999997E-4</c:v>
                  </c:pt>
                  <c:pt idx="27">
                    <c:v>1.4E-3</c:v>
                  </c:pt>
                  <c:pt idx="28">
                    <c:v>8.9999999999999998E-4</c:v>
                  </c:pt>
                  <c:pt idx="29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0</c:v>
                </c:pt>
                <c:pt idx="1">
                  <c:v>43614</c:v>
                </c:pt>
                <c:pt idx="2">
                  <c:v>43760.5</c:v>
                </c:pt>
                <c:pt idx="3">
                  <c:v>43763</c:v>
                </c:pt>
                <c:pt idx="4">
                  <c:v>43764</c:v>
                </c:pt>
                <c:pt idx="5">
                  <c:v>43927</c:v>
                </c:pt>
                <c:pt idx="6">
                  <c:v>44110</c:v>
                </c:pt>
                <c:pt idx="7">
                  <c:v>49160</c:v>
                </c:pt>
                <c:pt idx="8">
                  <c:v>52389</c:v>
                </c:pt>
                <c:pt idx="9">
                  <c:v>52401</c:v>
                </c:pt>
                <c:pt idx="10">
                  <c:v>52429</c:v>
                </c:pt>
                <c:pt idx="11">
                  <c:v>53096</c:v>
                </c:pt>
                <c:pt idx="12">
                  <c:v>53101</c:v>
                </c:pt>
                <c:pt idx="13">
                  <c:v>53115</c:v>
                </c:pt>
                <c:pt idx="14">
                  <c:v>54195</c:v>
                </c:pt>
                <c:pt idx="15">
                  <c:v>54268</c:v>
                </c:pt>
                <c:pt idx="16">
                  <c:v>54282</c:v>
                </c:pt>
                <c:pt idx="17">
                  <c:v>55825</c:v>
                </c:pt>
                <c:pt idx="18">
                  <c:v>57584</c:v>
                </c:pt>
                <c:pt idx="19">
                  <c:v>57936</c:v>
                </c:pt>
                <c:pt idx="20">
                  <c:v>60938</c:v>
                </c:pt>
                <c:pt idx="21">
                  <c:v>62698</c:v>
                </c:pt>
                <c:pt idx="22">
                  <c:v>63053</c:v>
                </c:pt>
                <c:pt idx="23">
                  <c:v>64640</c:v>
                </c:pt>
                <c:pt idx="24">
                  <c:v>65929</c:v>
                </c:pt>
                <c:pt idx="25">
                  <c:v>65952</c:v>
                </c:pt>
                <c:pt idx="26">
                  <c:v>66038</c:v>
                </c:pt>
                <c:pt idx="27">
                  <c:v>66182</c:v>
                </c:pt>
                <c:pt idx="28">
                  <c:v>68217</c:v>
                </c:pt>
                <c:pt idx="29">
                  <c:v>72781</c:v>
                </c:pt>
              </c:numCache>
            </c:numRef>
          </c:xVal>
          <c:yVal>
            <c:numRef>
              <c:f>Active!$N$21:$N$992</c:f>
              <c:numCache>
                <c:formatCode>0.0000</c:formatCode>
                <c:ptCount val="972"/>
                <c:pt idx="2">
                  <c:v>7.832275398798208E-2</c:v>
                </c:pt>
                <c:pt idx="3">
                  <c:v>7.8313821702707398E-2</c:v>
                </c:pt>
                <c:pt idx="4">
                  <c:v>7.831024878859752E-2</c:v>
                </c:pt>
                <c:pt idx="6">
                  <c:v>7.7074020506580881E-2</c:v>
                </c:pt>
                <c:pt idx="9">
                  <c:v>4.745098962160979E-2</c:v>
                </c:pt>
                <c:pt idx="11">
                  <c:v>4.4967814315246851E-2</c:v>
                </c:pt>
                <c:pt idx="12">
                  <c:v>4.4949949744697487E-2</c:v>
                </c:pt>
                <c:pt idx="13">
                  <c:v>4.4899928947159246E-2</c:v>
                </c:pt>
                <c:pt idx="14">
                  <c:v>4.1041181708494578E-2</c:v>
                </c:pt>
                <c:pt idx="15">
                  <c:v>4.0780358978473707E-2</c:v>
                </c:pt>
                <c:pt idx="16">
                  <c:v>4.0730338180935466E-2</c:v>
                </c:pt>
                <c:pt idx="17">
                  <c:v>3.5217331709398808E-2</c:v>
                </c:pt>
                <c:pt idx="18">
                  <c:v>2.8932575790129228E-2</c:v>
                </c:pt>
                <c:pt idx="19">
                  <c:v>2.7674910023453347E-2</c:v>
                </c:pt>
                <c:pt idx="20">
                  <c:v>1.6949021865609509E-2</c:v>
                </c:pt>
                <c:pt idx="21">
                  <c:v>1.0660693032230051E-2</c:v>
                </c:pt>
                <c:pt idx="22">
                  <c:v>9.3923085232245351E-3</c:v>
                </c:pt>
                <c:pt idx="23">
                  <c:v>3.722093830853368E-3</c:v>
                </c:pt>
                <c:pt idx="24">
                  <c:v>-8.8339245677510059E-4</c:v>
                </c:pt>
                <c:pt idx="25">
                  <c:v>-9.6556948130221976E-4</c:v>
                </c:pt>
                <c:pt idx="26">
                  <c:v>-1.272840094751454E-3</c:v>
                </c:pt>
                <c:pt idx="27">
                  <c:v>-1.7873397265734114E-3</c:v>
                </c:pt>
                <c:pt idx="28">
                  <c:v>-9.0582199401683938E-3</c:v>
                </c:pt>
                <c:pt idx="29">
                  <c:v>-2.5364999937636523E-2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02B-4E04-BE6C-B391CC92CE7C}"/>
            </c:ext>
          </c:extLst>
        </c:ser>
        <c:ser>
          <c:idx val="7"/>
          <c:order val="7"/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yVal>
            <c:numLit>
              <c:formatCode>General</c:formatCode>
              <c:ptCount val="1"/>
              <c:pt idx="0">
                <c:v>1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7-A02B-4E04-BE6C-B391CC92CE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7484552"/>
        <c:axId val="1"/>
      </c:scatterChart>
      <c:valAx>
        <c:axId val="687484552"/>
        <c:scaling>
          <c:orientation val="minMax"/>
          <c:min val="40000"/>
        </c:scaling>
        <c:delete val="0"/>
        <c:axPos val="b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914241960183771"/>
              <c:y val="0.8734190504667929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.04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2.1439509954058193E-2"/>
              <c:y val="0.3544310442207381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8748455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1439509954058192"/>
          <c:y val="0.92721651882122325"/>
          <c:w val="0.66003062787136291"/>
          <c:h val="6.329113924050633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V0731 Her - O-C Diagr</a:t>
            </a:r>
          </a:p>
        </c:rich>
      </c:tx>
      <c:layout>
        <c:manualLayout>
          <c:xMode val="edge"/>
          <c:yMode val="edge"/>
          <c:x val="0.37716663857384797"/>
          <c:y val="1.577287066246056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703379896818702"/>
          <c:y val="8.8328075709779186E-2"/>
          <c:w val="0.86085755455841839"/>
          <c:h val="0.7255520504731861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Active!$F$21:$F$992</c:f>
              <c:numCache>
                <c:formatCode>General</c:formatCode>
                <c:ptCount val="972"/>
                <c:pt idx="0">
                  <c:v>0</c:v>
                </c:pt>
                <c:pt idx="1">
                  <c:v>43614</c:v>
                </c:pt>
                <c:pt idx="2">
                  <c:v>43760.5</c:v>
                </c:pt>
                <c:pt idx="3">
                  <c:v>43763</c:v>
                </c:pt>
                <c:pt idx="4">
                  <c:v>43764</c:v>
                </c:pt>
                <c:pt idx="5">
                  <c:v>43927</c:v>
                </c:pt>
                <c:pt idx="6">
                  <c:v>44110</c:v>
                </c:pt>
                <c:pt idx="7">
                  <c:v>49160</c:v>
                </c:pt>
                <c:pt idx="8">
                  <c:v>52389</c:v>
                </c:pt>
                <c:pt idx="9">
                  <c:v>52401</c:v>
                </c:pt>
                <c:pt idx="10">
                  <c:v>52429</c:v>
                </c:pt>
                <c:pt idx="11">
                  <c:v>53096</c:v>
                </c:pt>
                <c:pt idx="12">
                  <c:v>53101</c:v>
                </c:pt>
                <c:pt idx="13">
                  <c:v>53115</c:v>
                </c:pt>
                <c:pt idx="14">
                  <c:v>54195</c:v>
                </c:pt>
                <c:pt idx="15">
                  <c:v>54268</c:v>
                </c:pt>
                <c:pt idx="16">
                  <c:v>54282</c:v>
                </c:pt>
                <c:pt idx="17">
                  <c:v>55825</c:v>
                </c:pt>
                <c:pt idx="18">
                  <c:v>57584</c:v>
                </c:pt>
                <c:pt idx="19">
                  <c:v>57936</c:v>
                </c:pt>
                <c:pt idx="20">
                  <c:v>60938</c:v>
                </c:pt>
                <c:pt idx="21">
                  <c:v>62698</c:v>
                </c:pt>
                <c:pt idx="22">
                  <c:v>63053</c:v>
                </c:pt>
                <c:pt idx="23">
                  <c:v>64640</c:v>
                </c:pt>
                <c:pt idx="24">
                  <c:v>65929</c:v>
                </c:pt>
                <c:pt idx="25">
                  <c:v>65952</c:v>
                </c:pt>
                <c:pt idx="26">
                  <c:v>66038</c:v>
                </c:pt>
                <c:pt idx="27">
                  <c:v>66182</c:v>
                </c:pt>
                <c:pt idx="28">
                  <c:v>68217</c:v>
                </c:pt>
                <c:pt idx="29">
                  <c:v>72781</c:v>
                </c:pt>
              </c:numCache>
            </c:numRef>
          </c:xVal>
          <c:yVal>
            <c:numRef>
              <c:f>Active!$H$21:$H$992</c:f>
              <c:numCache>
                <c:formatCode>0.0000</c:formatCode>
                <c:ptCount val="972"/>
                <c:pt idx="2">
                  <c:v>8.3579999991343357E-3</c:v>
                </c:pt>
                <c:pt idx="3">
                  <c:v>1.7348000001220498E-2</c:v>
                </c:pt>
                <c:pt idx="4">
                  <c:v>1.7343999999866355E-2</c:v>
                </c:pt>
                <c:pt idx="6">
                  <c:v>1.0559999995166436E-2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51F-4BC4-BB59-B8085A32294E}"/>
            </c:ext>
          </c:extLst>
        </c:ser>
        <c:ser>
          <c:idx val="1"/>
          <c:order val="1"/>
          <c:tx>
            <c:strRef>
              <c:f>Active!$I$20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Active!$D$22:$D$44</c:f>
                <c:numCache>
                  <c:formatCode>General</c:formatCode>
                  <c:ptCount val="23"/>
                  <c:pt idx="0">
                    <c:v>1.5E-3</c:v>
                  </c:pt>
                  <c:pt idx="4">
                    <c:v>8.9999999999999998E-4</c:v>
                  </c:pt>
                  <c:pt idx="6">
                    <c:v>8.9999999999999998E-4</c:v>
                  </c:pt>
                  <c:pt idx="7">
                    <c:v>6.9999999999999999E-4</c:v>
                  </c:pt>
                  <c:pt idx="8">
                    <c:v>1E-3</c:v>
                  </c:pt>
                  <c:pt idx="9">
                    <c:v>8.0000000000000004E-4</c:v>
                  </c:pt>
                  <c:pt idx="10">
                    <c:v>2.0000000000000001E-4</c:v>
                  </c:pt>
                  <c:pt idx="11">
                    <c:v>4.0000000000000002E-4</c:v>
                  </c:pt>
                  <c:pt idx="17">
                    <c:v>3.5000000000000001E-3</c:v>
                  </c:pt>
                  <c:pt idx="19">
                    <c:v>8.0000000000000004E-4</c:v>
                  </c:pt>
                  <c:pt idx="20">
                    <c:v>2.0000000000000001E-4</c:v>
                  </c:pt>
                  <c:pt idx="21">
                    <c:v>2.3E-3</c:v>
                  </c:pt>
                  <c:pt idx="22">
                    <c:v>6.9999999999999999E-4</c:v>
                  </c:pt>
                </c:numCache>
              </c:numRef>
            </c:plus>
            <c:minus>
              <c:numLit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2.2000000000000001E-3</c:v>
                </c:pt>
              </c:numLit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0</c:v>
                </c:pt>
                <c:pt idx="1">
                  <c:v>43614</c:v>
                </c:pt>
                <c:pt idx="2">
                  <c:v>43760.5</c:v>
                </c:pt>
                <c:pt idx="3">
                  <c:v>43763</c:v>
                </c:pt>
                <c:pt idx="4">
                  <c:v>43764</c:v>
                </c:pt>
                <c:pt idx="5">
                  <c:v>43927</c:v>
                </c:pt>
                <c:pt idx="6">
                  <c:v>44110</c:v>
                </c:pt>
                <c:pt idx="7">
                  <c:v>49160</c:v>
                </c:pt>
                <c:pt idx="8">
                  <c:v>52389</c:v>
                </c:pt>
                <c:pt idx="9">
                  <c:v>52401</c:v>
                </c:pt>
                <c:pt idx="10">
                  <c:v>52429</c:v>
                </c:pt>
                <c:pt idx="11">
                  <c:v>53096</c:v>
                </c:pt>
                <c:pt idx="12">
                  <c:v>53101</c:v>
                </c:pt>
                <c:pt idx="13">
                  <c:v>53115</c:v>
                </c:pt>
                <c:pt idx="14">
                  <c:v>54195</c:v>
                </c:pt>
                <c:pt idx="15">
                  <c:v>54268</c:v>
                </c:pt>
                <c:pt idx="16">
                  <c:v>54282</c:v>
                </c:pt>
                <c:pt idx="17">
                  <c:v>55825</c:v>
                </c:pt>
                <c:pt idx="18">
                  <c:v>57584</c:v>
                </c:pt>
                <c:pt idx="19">
                  <c:v>57936</c:v>
                </c:pt>
                <c:pt idx="20">
                  <c:v>60938</c:v>
                </c:pt>
                <c:pt idx="21">
                  <c:v>62698</c:v>
                </c:pt>
                <c:pt idx="22">
                  <c:v>63053</c:v>
                </c:pt>
                <c:pt idx="23">
                  <c:v>64640</c:v>
                </c:pt>
                <c:pt idx="24">
                  <c:v>65929</c:v>
                </c:pt>
                <c:pt idx="25">
                  <c:v>65952</c:v>
                </c:pt>
                <c:pt idx="26">
                  <c:v>66038</c:v>
                </c:pt>
                <c:pt idx="27">
                  <c:v>66182</c:v>
                </c:pt>
                <c:pt idx="28">
                  <c:v>68217</c:v>
                </c:pt>
                <c:pt idx="29">
                  <c:v>72781</c:v>
                </c:pt>
              </c:numCache>
            </c:numRef>
          </c:xVal>
          <c:yVal>
            <c:numRef>
              <c:f>Active!$I$21:$I$992</c:f>
              <c:numCache>
                <c:formatCode>0.0000</c:formatCode>
                <c:ptCount val="972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51F-4BC4-BB59-B8085A32294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  <c:pt idx="1">
                    <c:v>1.5E-3</c:v>
                  </c:pt>
                  <c:pt idx="5">
                    <c:v>8.9999999999999998E-4</c:v>
                  </c:pt>
                  <c:pt idx="7">
                    <c:v>8.9999999999999998E-4</c:v>
                  </c:pt>
                  <c:pt idx="8">
                    <c:v>6.9999999999999999E-4</c:v>
                  </c:pt>
                  <c:pt idx="9">
                    <c:v>1E-3</c:v>
                  </c:pt>
                  <c:pt idx="10">
                    <c:v>8.0000000000000004E-4</c:v>
                  </c:pt>
                  <c:pt idx="11">
                    <c:v>2.0000000000000001E-4</c:v>
                  </c:pt>
                  <c:pt idx="12">
                    <c:v>4.0000000000000002E-4</c:v>
                  </c:pt>
                  <c:pt idx="18">
                    <c:v>3.5000000000000001E-3</c:v>
                  </c:pt>
                  <c:pt idx="20">
                    <c:v>8.0000000000000004E-4</c:v>
                  </c:pt>
                  <c:pt idx="21">
                    <c:v>2.0000000000000001E-4</c:v>
                  </c:pt>
                  <c:pt idx="22">
                    <c:v>2.3E-3</c:v>
                  </c:pt>
                  <c:pt idx="23">
                    <c:v>6.9999999999999999E-4</c:v>
                  </c:pt>
                </c:numCache>
              </c:numRef>
            </c:plus>
            <c:min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  <c:pt idx="1">
                    <c:v>1.5E-3</c:v>
                  </c:pt>
                  <c:pt idx="5">
                    <c:v>8.9999999999999998E-4</c:v>
                  </c:pt>
                  <c:pt idx="7">
                    <c:v>8.9999999999999998E-4</c:v>
                  </c:pt>
                  <c:pt idx="8">
                    <c:v>6.9999999999999999E-4</c:v>
                  </c:pt>
                  <c:pt idx="9">
                    <c:v>1E-3</c:v>
                  </c:pt>
                  <c:pt idx="10">
                    <c:v>8.0000000000000004E-4</c:v>
                  </c:pt>
                  <c:pt idx="11">
                    <c:v>2.0000000000000001E-4</c:v>
                  </c:pt>
                  <c:pt idx="12">
                    <c:v>4.0000000000000002E-4</c:v>
                  </c:pt>
                  <c:pt idx="18">
                    <c:v>3.5000000000000001E-3</c:v>
                  </c:pt>
                  <c:pt idx="20">
                    <c:v>8.0000000000000004E-4</c:v>
                  </c:pt>
                  <c:pt idx="21">
                    <c:v>2.0000000000000001E-4</c:v>
                  </c:pt>
                  <c:pt idx="22">
                    <c:v>2.3E-3</c:v>
                  </c:pt>
                  <c:pt idx="23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0</c:v>
                </c:pt>
                <c:pt idx="1">
                  <c:v>43614</c:v>
                </c:pt>
                <c:pt idx="2">
                  <c:v>43760.5</c:v>
                </c:pt>
                <c:pt idx="3">
                  <c:v>43763</c:v>
                </c:pt>
                <c:pt idx="4">
                  <c:v>43764</c:v>
                </c:pt>
                <c:pt idx="5">
                  <c:v>43927</c:v>
                </c:pt>
                <c:pt idx="6">
                  <c:v>44110</c:v>
                </c:pt>
                <c:pt idx="7">
                  <c:v>49160</c:v>
                </c:pt>
                <c:pt idx="8">
                  <c:v>52389</c:v>
                </c:pt>
                <c:pt idx="9">
                  <c:v>52401</c:v>
                </c:pt>
                <c:pt idx="10">
                  <c:v>52429</c:v>
                </c:pt>
                <c:pt idx="11">
                  <c:v>53096</c:v>
                </c:pt>
                <c:pt idx="12">
                  <c:v>53101</c:v>
                </c:pt>
                <c:pt idx="13">
                  <c:v>53115</c:v>
                </c:pt>
                <c:pt idx="14">
                  <c:v>54195</c:v>
                </c:pt>
                <c:pt idx="15">
                  <c:v>54268</c:v>
                </c:pt>
                <c:pt idx="16">
                  <c:v>54282</c:v>
                </c:pt>
                <c:pt idx="17">
                  <c:v>55825</c:v>
                </c:pt>
                <c:pt idx="18">
                  <c:v>57584</c:v>
                </c:pt>
                <c:pt idx="19">
                  <c:v>57936</c:v>
                </c:pt>
                <c:pt idx="20">
                  <c:v>60938</c:v>
                </c:pt>
                <c:pt idx="21">
                  <c:v>62698</c:v>
                </c:pt>
                <c:pt idx="22">
                  <c:v>63053</c:v>
                </c:pt>
                <c:pt idx="23">
                  <c:v>64640</c:v>
                </c:pt>
                <c:pt idx="24">
                  <c:v>65929</c:v>
                </c:pt>
                <c:pt idx="25">
                  <c:v>65952</c:v>
                </c:pt>
                <c:pt idx="26">
                  <c:v>66038</c:v>
                </c:pt>
                <c:pt idx="27">
                  <c:v>66182</c:v>
                </c:pt>
                <c:pt idx="28">
                  <c:v>68217</c:v>
                </c:pt>
                <c:pt idx="29">
                  <c:v>72781</c:v>
                </c:pt>
              </c:numCache>
            </c:numRef>
          </c:xVal>
          <c:yVal>
            <c:numRef>
              <c:f>Active!$J$21:$J$992</c:f>
              <c:numCache>
                <c:formatCode>0.0000</c:formatCode>
                <c:ptCount val="972"/>
                <c:pt idx="8">
                  <c:v>1.5643999999156222E-2</c:v>
                </c:pt>
                <c:pt idx="9">
                  <c:v>1.5095999995537568E-2</c:v>
                </c:pt>
                <c:pt idx="15">
                  <c:v>1.3727999998081941E-2</c:v>
                </c:pt>
                <c:pt idx="16">
                  <c:v>1.6371999998227693E-2</c:v>
                </c:pt>
                <c:pt idx="17">
                  <c:v>1.7100000004575122E-2</c:v>
                </c:pt>
                <c:pt idx="18">
                  <c:v>6.3640000007580966E-3</c:v>
                </c:pt>
                <c:pt idx="19">
                  <c:v>1.485599999432452E-2</c:v>
                </c:pt>
                <c:pt idx="20">
                  <c:v>9.8479999942355789E-3</c:v>
                </c:pt>
                <c:pt idx="22">
                  <c:v>4.8880000031203963E-3</c:v>
                </c:pt>
                <c:pt idx="24">
                  <c:v>1.6839999952935614E-3</c:v>
                </c:pt>
                <c:pt idx="25">
                  <c:v>3.2920000012381934E-3</c:v>
                </c:pt>
                <c:pt idx="27">
                  <c:v>-4.328000002715271E-3</c:v>
                </c:pt>
                <c:pt idx="28">
                  <c:v>-1.0267999998177402E-2</c:v>
                </c:pt>
                <c:pt idx="29">
                  <c:v>-2.4824000000080559E-2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51F-4BC4-BB59-B8085A32294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Active!$F$21:$F$992</c:f>
              <c:numCache>
                <c:formatCode>General</c:formatCode>
                <c:ptCount val="972"/>
                <c:pt idx="0">
                  <c:v>0</c:v>
                </c:pt>
                <c:pt idx="1">
                  <c:v>43614</c:v>
                </c:pt>
                <c:pt idx="2">
                  <c:v>43760.5</c:v>
                </c:pt>
                <c:pt idx="3">
                  <c:v>43763</c:v>
                </c:pt>
                <c:pt idx="4">
                  <c:v>43764</c:v>
                </c:pt>
                <c:pt idx="5">
                  <c:v>43927</c:v>
                </c:pt>
                <c:pt idx="6">
                  <c:v>44110</c:v>
                </c:pt>
                <c:pt idx="7">
                  <c:v>49160</c:v>
                </c:pt>
                <c:pt idx="8">
                  <c:v>52389</c:v>
                </c:pt>
                <c:pt idx="9">
                  <c:v>52401</c:v>
                </c:pt>
                <c:pt idx="10">
                  <c:v>52429</c:v>
                </c:pt>
                <c:pt idx="11">
                  <c:v>53096</c:v>
                </c:pt>
                <c:pt idx="12">
                  <c:v>53101</c:v>
                </c:pt>
                <c:pt idx="13">
                  <c:v>53115</c:v>
                </c:pt>
                <c:pt idx="14">
                  <c:v>54195</c:v>
                </c:pt>
                <c:pt idx="15">
                  <c:v>54268</c:v>
                </c:pt>
                <c:pt idx="16">
                  <c:v>54282</c:v>
                </c:pt>
                <c:pt idx="17">
                  <c:v>55825</c:v>
                </c:pt>
                <c:pt idx="18">
                  <c:v>57584</c:v>
                </c:pt>
                <c:pt idx="19">
                  <c:v>57936</c:v>
                </c:pt>
                <c:pt idx="20">
                  <c:v>60938</c:v>
                </c:pt>
                <c:pt idx="21">
                  <c:v>62698</c:v>
                </c:pt>
                <c:pt idx="22">
                  <c:v>63053</c:v>
                </c:pt>
                <c:pt idx="23">
                  <c:v>64640</c:v>
                </c:pt>
                <c:pt idx="24">
                  <c:v>65929</c:v>
                </c:pt>
                <c:pt idx="25">
                  <c:v>65952</c:v>
                </c:pt>
                <c:pt idx="26">
                  <c:v>66038</c:v>
                </c:pt>
                <c:pt idx="27">
                  <c:v>66182</c:v>
                </c:pt>
                <c:pt idx="28">
                  <c:v>68217</c:v>
                </c:pt>
                <c:pt idx="29">
                  <c:v>72781</c:v>
                </c:pt>
              </c:numCache>
            </c:numRef>
          </c:xVal>
          <c:yVal>
            <c:numRef>
              <c:f>Active!$K$21:$K$992</c:f>
              <c:numCache>
                <c:formatCode>0.0000</c:formatCode>
                <c:ptCount val="972"/>
                <c:pt idx="1">
                  <c:v>1.724399999511661E-2</c:v>
                </c:pt>
                <c:pt idx="5">
                  <c:v>1.4291999992565252E-2</c:v>
                </c:pt>
                <c:pt idx="7">
                  <c:v>1.5559999999823049E-2</c:v>
                </c:pt>
                <c:pt idx="8">
                  <c:v>1.5643999999156222E-2</c:v>
                </c:pt>
                <c:pt idx="10">
                  <c:v>1.5983999997843057E-2</c:v>
                </c:pt>
                <c:pt idx="11">
                  <c:v>1.8415999991702847E-2</c:v>
                </c:pt>
                <c:pt idx="12">
                  <c:v>1.3395999994827434E-2</c:v>
                </c:pt>
                <c:pt idx="13">
                  <c:v>1.5639999997802079E-2</c:v>
                </c:pt>
                <c:pt idx="14">
                  <c:v>1.4419999999518041E-2</c:v>
                </c:pt>
                <c:pt idx="23">
                  <c:v>-9.6000000485219061E-4</c:v>
                </c:pt>
                <c:pt idx="26">
                  <c:v>-4.8883616327657364E-3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51F-4BC4-BB59-B8085A32294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Active!$F$21:$F$992</c:f>
              <c:numCache>
                <c:formatCode>General</c:formatCode>
                <c:ptCount val="972"/>
                <c:pt idx="0">
                  <c:v>0</c:v>
                </c:pt>
                <c:pt idx="1">
                  <c:v>43614</c:v>
                </c:pt>
                <c:pt idx="2">
                  <c:v>43760.5</c:v>
                </c:pt>
                <c:pt idx="3">
                  <c:v>43763</c:v>
                </c:pt>
                <c:pt idx="4">
                  <c:v>43764</c:v>
                </c:pt>
                <c:pt idx="5">
                  <c:v>43927</c:v>
                </c:pt>
                <c:pt idx="6">
                  <c:v>44110</c:v>
                </c:pt>
                <c:pt idx="7">
                  <c:v>49160</c:v>
                </c:pt>
                <c:pt idx="8">
                  <c:v>52389</c:v>
                </c:pt>
                <c:pt idx="9">
                  <c:v>52401</c:v>
                </c:pt>
                <c:pt idx="10">
                  <c:v>52429</c:v>
                </c:pt>
                <c:pt idx="11">
                  <c:v>53096</c:v>
                </c:pt>
                <c:pt idx="12">
                  <c:v>53101</c:v>
                </c:pt>
                <c:pt idx="13">
                  <c:v>53115</c:v>
                </c:pt>
                <c:pt idx="14">
                  <c:v>54195</c:v>
                </c:pt>
                <c:pt idx="15">
                  <c:v>54268</c:v>
                </c:pt>
                <c:pt idx="16">
                  <c:v>54282</c:v>
                </c:pt>
                <c:pt idx="17">
                  <c:v>55825</c:v>
                </c:pt>
                <c:pt idx="18">
                  <c:v>57584</c:v>
                </c:pt>
                <c:pt idx="19">
                  <c:v>57936</c:v>
                </c:pt>
                <c:pt idx="20">
                  <c:v>60938</c:v>
                </c:pt>
                <c:pt idx="21">
                  <c:v>62698</c:v>
                </c:pt>
                <c:pt idx="22">
                  <c:v>63053</c:v>
                </c:pt>
                <c:pt idx="23">
                  <c:v>64640</c:v>
                </c:pt>
                <c:pt idx="24">
                  <c:v>65929</c:v>
                </c:pt>
                <c:pt idx="25">
                  <c:v>65952</c:v>
                </c:pt>
                <c:pt idx="26">
                  <c:v>66038</c:v>
                </c:pt>
                <c:pt idx="27">
                  <c:v>66182</c:v>
                </c:pt>
                <c:pt idx="28">
                  <c:v>68217</c:v>
                </c:pt>
                <c:pt idx="29">
                  <c:v>72781</c:v>
                </c:pt>
              </c:numCache>
            </c:numRef>
          </c:xVal>
          <c:yVal>
            <c:numRef>
              <c:f>Active!$L$21:$L$992</c:f>
              <c:numCache>
                <c:formatCode>0.0000</c:formatCode>
                <c:ptCount val="972"/>
                <c:pt idx="14">
                  <c:v>1.4419999999518041E-2</c:v>
                </c:pt>
                <c:pt idx="26">
                  <c:v>-4.8883616327657364E-3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51F-4BC4-BB59-B8085A32294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Active!$F$21:$F$992</c:f>
              <c:numCache>
                <c:formatCode>General</c:formatCode>
                <c:ptCount val="972"/>
                <c:pt idx="0">
                  <c:v>0</c:v>
                </c:pt>
                <c:pt idx="1">
                  <c:v>43614</c:v>
                </c:pt>
                <c:pt idx="2">
                  <c:v>43760.5</c:v>
                </c:pt>
                <c:pt idx="3">
                  <c:v>43763</c:v>
                </c:pt>
                <c:pt idx="4">
                  <c:v>43764</c:v>
                </c:pt>
                <c:pt idx="5">
                  <c:v>43927</c:v>
                </c:pt>
                <c:pt idx="6">
                  <c:v>44110</c:v>
                </c:pt>
                <c:pt idx="7">
                  <c:v>49160</c:v>
                </c:pt>
                <c:pt idx="8">
                  <c:v>52389</c:v>
                </c:pt>
                <c:pt idx="9">
                  <c:v>52401</c:v>
                </c:pt>
                <c:pt idx="10">
                  <c:v>52429</c:v>
                </c:pt>
                <c:pt idx="11">
                  <c:v>53096</c:v>
                </c:pt>
                <c:pt idx="12">
                  <c:v>53101</c:v>
                </c:pt>
                <c:pt idx="13">
                  <c:v>53115</c:v>
                </c:pt>
                <c:pt idx="14">
                  <c:v>54195</c:v>
                </c:pt>
                <c:pt idx="15">
                  <c:v>54268</c:v>
                </c:pt>
                <c:pt idx="16">
                  <c:v>54282</c:v>
                </c:pt>
                <c:pt idx="17">
                  <c:v>55825</c:v>
                </c:pt>
                <c:pt idx="18">
                  <c:v>57584</c:v>
                </c:pt>
                <c:pt idx="19">
                  <c:v>57936</c:v>
                </c:pt>
                <c:pt idx="20">
                  <c:v>60938</c:v>
                </c:pt>
                <c:pt idx="21">
                  <c:v>62698</c:v>
                </c:pt>
                <c:pt idx="22">
                  <c:v>63053</c:v>
                </c:pt>
                <c:pt idx="23">
                  <c:v>64640</c:v>
                </c:pt>
                <c:pt idx="24">
                  <c:v>65929</c:v>
                </c:pt>
                <c:pt idx="25">
                  <c:v>65952</c:v>
                </c:pt>
                <c:pt idx="26">
                  <c:v>66038</c:v>
                </c:pt>
                <c:pt idx="27">
                  <c:v>66182</c:v>
                </c:pt>
                <c:pt idx="28">
                  <c:v>68217</c:v>
                </c:pt>
                <c:pt idx="29">
                  <c:v>72781</c:v>
                </c:pt>
              </c:numCache>
            </c:numRef>
          </c:xVal>
          <c:yVal>
            <c:numRef>
              <c:f>Active!$M$21:$M$992</c:f>
              <c:numCache>
                <c:formatCode>0.0000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51F-4BC4-BB59-B8085A32294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Active!$F$21:$F$992</c:f>
              <c:numCache>
                <c:formatCode>General</c:formatCode>
                <c:ptCount val="972"/>
                <c:pt idx="0">
                  <c:v>0</c:v>
                </c:pt>
                <c:pt idx="1">
                  <c:v>43614</c:v>
                </c:pt>
                <c:pt idx="2">
                  <c:v>43760.5</c:v>
                </c:pt>
                <c:pt idx="3">
                  <c:v>43763</c:v>
                </c:pt>
                <c:pt idx="4">
                  <c:v>43764</c:v>
                </c:pt>
                <c:pt idx="5">
                  <c:v>43927</c:v>
                </c:pt>
                <c:pt idx="6">
                  <c:v>44110</c:v>
                </c:pt>
                <c:pt idx="7">
                  <c:v>49160</c:v>
                </c:pt>
                <c:pt idx="8">
                  <c:v>52389</c:v>
                </c:pt>
                <c:pt idx="9">
                  <c:v>52401</c:v>
                </c:pt>
                <c:pt idx="10">
                  <c:v>52429</c:v>
                </c:pt>
                <c:pt idx="11">
                  <c:v>53096</c:v>
                </c:pt>
                <c:pt idx="12">
                  <c:v>53101</c:v>
                </c:pt>
                <c:pt idx="13">
                  <c:v>53115</c:v>
                </c:pt>
                <c:pt idx="14">
                  <c:v>54195</c:v>
                </c:pt>
                <c:pt idx="15">
                  <c:v>54268</c:v>
                </c:pt>
                <c:pt idx="16">
                  <c:v>54282</c:v>
                </c:pt>
                <c:pt idx="17">
                  <c:v>55825</c:v>
                </c:pt>
                <c:pt idx="18">
                  <c:v>57584</c:v>
                </c:pt>
                <c:pt idx="19">
                  <c:v>57936</c:v>
                </c:pt>
                <c:pt idx="20">
                  <c:v>60938</c:v>
                </c:pt>
                <c:pt idx="21">
                  <c:v>62698</c:v>
                </c:pt>
                <c:pt idx="22">
                  <c:v>63053</c:v>
                </c:pt>
                <c:pt idx="23">
                  <c:v>64640</c:v>
                </c:pt>
                <c:pt idx="24">
                  <c:v>65929</c:v>
                </c:pt>
                <c:pt idx="25">
                  <c:v>65952</c:v>
                </c:pt>
                <c:pt idx="26">
                  <c:v>66038</c:v>
                </c:pt>
                <c:pt idx="27">
                  <c:v>66182</c:v>
                </c:pt>
                <c:pt idx="28">
                  <c:v>68217</c:v>
                </c:pt>
                <c:pt idx="29">
                  <c:v>72781</c:v>
                </c:pt>
              </c:numCache>
            </c:numRef>
          </c:xVal>
          <c:yVal>
            <c:numRef>
              <c:f>Active!$N$21:$N$992</c:f>
              <c:numCache>
                <c:formatCode>0.0000</c:formatCode>
                <c:ptCount val="972"/>
                <c:pt idx="2">
                  <c:v>7.832275398798208E-2</c:v>
                </c:pt>
                <c:pt idx="3">
                  <c:v>7.8313821702707398E-2</c:v>
                </c:pt>
                <c:pt idx="4">
                  <c:v>7.831024878859752E-2</c:v>
                </c:pt>
                <c:pt idx="6">
                  <c:v>7.7074020506580881E-2</c:v>
                </c:pt>
                <c:pt idx="9">
                  <c:v>4.745098962160979E-2</c:v>
                </c:pt>
                <c:pt idx="11">
                  <c:v>4.4967814315246851E-2</c:v>
                </c:pt>
                <c:pt idx="12">
                  <c:v>4.4949949744697487E-2</c:v>
                </c:pt>
                <c:pt idx="13">
                  <c:v>4.4899928947159246E-2</c:v>
                </c:pt>
                <c:pt idx="14">
                  <c:v>4.1041181708494578E-2</c:v>
                </c:pt>
                <c:pt idx="15">
                  <c:v>4.0780358978473707E-2</c:v>
                </c:pt>
                <c:pt idx="16">
                  <c:v>4.0730338180935466E-2</c:v>
                </c:pt>
                <c:pt idx="17">
                  <c:v>3.5217331709398808E-2</c:v>
                </c:pt>
                <c:pt idx="18">
                  <c:v>2.8932575790129228E-2</c:v>
                </c:pt>
                <c:pt idx="19">
                  <c:v>2.7674910023453347E-2</c:v>
                </c:pt>
                <c:pt idx="20">
                  <c:v>1.6949021865609509E-2</c:v>
                </c:pt>
                <c:pt idx="21">
                  <c:v>1.0660693032230051E-2</c:v>
                </c:pt>
                <c:pt idx="22">
                  <c:v>9.3923085232245351E-3</c:v>
                </c:pt>
                <c:pt idx="23">
                  <c:v>3.722093830853368E-3</c:v>
                </c:pt>
                <c:pt idx="24">
                  <c:v>-8.8339245677510059E-4</c:v>
                </c:pt>
                <c:pt idx="25">
                  <c:v>-9.6556948130221976E-4</c:v>
                </c:pt>
                <c:pt idx="26">
                  <c:v>-1.272840094751454E-3</c:v>
                </c:pt>
                <c:pt idx="27">
                  <c:v>-1.7873397265734114E-3</c:v>
                </c:pt>
                <c:pt idx="28">
                  <c:v>-9.0582199401683938E-3</c:v>
                </c:pt>
                <c:pt idx="29">
                  <c:v>-2.5364999937636523E-2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51F-4BC4-BB59-B8085A3229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97368016"/>
        <c:axId val="1"/>
      </c:scatterChart>
      <c:valAx>
        <c:axId val="697368016"/>
        <c:scaling>
          <c:orientation val="minMax"/>
        </c:scaling>
        <c:delete val="0"/>
        <c:axPos val="b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834942650517313"/>
              <c:y val="0.8738170347003154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2.1406727828746176E-2"/>
              <c:y val="0.3564668769716088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9736801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6911363143827205"/>
          <c:y val="0.9274447949526814"/>
          <c:w val="0.54893046626052477"/>
          <c:h val="6.309148264984232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V731 Her - O-C Diagr.</a:t>
            </a:r>
          </a:p>
        </c:rich>
      </c:tx>
      <c:layout>
        <c:manualLayout>
          <c:xMode val="edge"/>
          <c:yMode val="edge"/>
          <c:x val="0.36526008112622282"/>
          <c:y val="1.510574018126888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363645371193128"/>
          <c:y val="0.12990955719758604"/>
          <c:w val="0.8522734028394845"/>
          <c:h val="0.6918439208894697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 (old)'!$H$20:$H$20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'A (old)'!$F$21:$F$992</c:f>
              <c:numCache>
                <c:formatCode>General</c:formatCode>
                <c:ptCount val="972"/>
                <c:pt idx="0">
                  <c:v>0</c:v>
                </c:pt>
                <c:pt idx="1">
                  <c:v>17156.5</c:v>
                </c:pt>
                <c:pt idx="2">
                  <c:v>17214</c:v>
                </c:pt>
                <c:pt idx="3">
                  <c:v>17215</c:v>
                </c:pt>
                <c:pt idx="4">
                  <c:v>17215.5</c:v>
                </c:pt>
                <c:pt idx="5">
                  <c:v>17279.5</c:v>
                </c:pt>
                <c:pt idx="6">
                  <c:v>17351.5</c:v>
                </c:pt>
                <c:pt idx="7">
                  <c:v>19338</c:v>
                </c:pt>
                <c:pt idx="8">
                  <c:v>20608</c:v>
                </c:pt>
                <c:pt idx="9">
                  <c:v>20613</c:v>
                </c:pt>
                <c:pt idx="10">
                  <c:v>20624</c:v>
                </c:pt>
                <c:pt idx="11">
                  <c:v>20886.5</c:v>
                </c:pt>
                <c:pt idx="12">
                  <c:v>20888.5</c:v>
                </c:pt>
                <c:pt idx="13">
                  <c:v>20894</c:v>
                </c:pt>
                <c:pt idx="14">
                  <c:v>21318.5</c:v>
                </c:pt>
                <c:pt idx="15">
                  <c:v>21347.5</c:v>
                </c:pt>
                <c:pt idx="16">
                  <c:v>21353</c:v>
                </c:pt>
                <c:pt idx="17">
                  <c:v>21960</c:v>
                </c:pt>
              </c:numCache>
            </c:numRef>
          </c:xVal>
          <c:yVal>
            <c:numRef>
              <c:f>'A (old)'!$H$21:$H$992</c:f>
              <c:numCache>
                <c:formatCode>0.0000</c:formatCode>
                <c:ptCount val="972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0D2-40E2-BCAB-CB37D9209D47}"/>
            </c:ext>
          </c:extLst>
        </c:ser>
        <c:ser>
          <c:idx val="1"/>
          <c:order val="1"/>
          <c:tx>
            <c:strRef>
              <c:f>'A (old)'!$I$20:$I$20</c:f>
              <c:strCache>
                <c:ptCount val="1"/>
                <c:pt idx="0">
                  <c:v>ROTSE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(old)'!$D$22:$D$43</c:f>
                <c:numCache>
                  <c:formatCode>General</c:formatCode>
                  <c:ptCount val="22"/>
                  <c:pt idx="0">
                    <c:v>1.5E-3</c:v>
                  </c:pt>
                  <c:pt idx="4">
                    <c:v>8.9999999999999998E-4</c:v>
                  </c:pt>
                  <c:pt idx="7">
                    <c:v>4.0000000000000002E-4</c:v>
                  </c:pt>
                  <c:pt idx="8">
                    <c:v>1.8E-3</c:v>
                  </c:pt>
                  <c:pt idx="9">
                    <c:v>6.9999999999999999E-4</c:v>
                  </c:pt>
                  <c:pt idx="13">
                    <c:v>1E-4</c:v>
                  </c:pt>
                  <c:pt idx="14">
                    <c:v>1.6000000000000001E-3</c:v>
                  </c:pt>
                  <c:pt idx="15">
                    <c:v>1.6000000000000001E-3</c:v>
                  </c:pt>
                  <c:pt idx="16">
                    <c:v>1.8E-3</c:v>
                  </c:pt>
                </c:numCache>
              </c:numRef>
            </c:plus>
            <c:minus>
              <c:numLit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2.2000000000000001E-3</c:v>
                </c:pt>
              </c:numLit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(old)'!$F$21:$F$992</c:f>
              <c:numCache>
                <c:formatCode>General</c:formatCode>
                <c:ptCount val="972"/>
                <c:pt idx="0">
                  <c:v>0</c:v>
                </c:pt>
                <c:pt idx="1">
                  <c:v>17156.5</c:v>
                </c:pt>
                <c:pt idx="2">
                  <c:v>17214</c:v>
                </c:pt>
                <c:pt idx="3">
                  <c:v>17215</c:v>
                </c:pt>
                <c:pt idx="4">
                  <c:v>17215.5</c:v>
                </c:pt>
                <c:pt idx="5">
                  <c:v>17279.5</c:v>
                </c:pt>
                <c:pt idx="6">
                  <c:v>17351.5</c:v>
                </c:pt>
                <c:pt idx="7">
                  <c:v>19338</c:v>
                </c:pt>
                <c:pt idx="8">
                  <c:v>20608</c:v>
                </c:pt>
                <c:pt idx="9">
                  <c:v>20613</c:v>
                </c:pt>
                <c:pt idx="10">
                  <c:v>20624</c:v>
                </c:pt>
                <c:pt idx="11">
                  <c:v>20886.5</c:v>
                </c:pt>
                <c:pt idx="12">
                  <c:v>20888.5</c:v>
                </c:pt>
                <c:pt idx="13">
                  <c:v>20894</c:v>
                </c:pt>
                <c:pt idx="14">
                  <c:v>21318.5</c:v>
                </c:pt>
                <c:pt idx="15">
                  <c:v>21347.5</c:v>
                </c:pt>
                <c:pt idx="16">
                  <c:v>21353</c:v>
                </c:pt>
                <c:pt idx="17">
                  <c:v>21960</c:v>
                </c:pt>
              </c:numCache>
            </c:numRef>
          </c:xVal>
          <c:yVal>
            <c:numRef>
              <c:f>'A (old)'!$I$21:$I$992</c:f>
              <c:numCache>
                <c:formatCode>0.0000</c:formatCode>
                <c:ptCount val="972"/>
                <c:pt idx="2">
                  <c:v>1.3067399995634332E-3</c:v>
                </c:pt>
                <c:pt idx="3">
                  <c:v>1.3106499973218888E-3</c:v>
                </c:pt>
                <c:pt idx="4">
                  <c:v>-5.6487394998839591E-2</c:v>
                </c:pt>
                <c:pt idx="6">
                  <c:v>-6.15563500468852E-3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0D2-40E2-BCAB-CB37D9209D47}"/>
            </c:ext>
          </c:extLst>
        </c:ser>
        <c:ser>
          <c:idx val="3"/>
          <c:order val="2"/>
          <c:tx>
            <c:strRef>
              <c:f>'A (old)'!$J$20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(old)'!$D$21:$D$43</c:f>
                <c:numCache>
                  <c:formatCode>General</c:formatCode>
                  <c:ptCount val="23"/>
                  <c:pt idx="0">
                    <c:v>0</c:v>
                  </c:pt>
                  <c:pt idx="1">
                    <c:v>1.5E-3</c:v>
                  </c:pt>
                  <c:pt idx="5">
                    <c:v>8.9999999999999998E-4</c:v>
                  </c:pt>
                  <c:pt idx="8">
                    <c:v>4.0000000000000002E-4</c:v>
                  </c:pt>
                  <c:pt idx="9">
                    <c:v>1.8E-3</c:v>
                  </c:pt>
                  <c:pt idx="10">
                    <c:v>6.9999999999999999E-4</c:v>
                  </c:pt>
                  <c:pt idx="14">
                    <c:v>1E-4</c:v>
                  </c:pt>
                  <c:pt idx="15">
                    <c:v>1.6000000000000001E-3</c:v>
                  </c:pt>
                  <c:pt idx="16">
                    <c:v>1.6000000000000001E-3</c:v>
                  </c:pt>
                  <c:pt idx="17">
                    <c:v>1.8E-3</c:v>
                  </c:pt>
                </c:numCache>
              </c:numRef>
            </c:plus>
            <c:minus>
              <c:numRef>
                <c:f>'A (old)'!$D$21:$D$43</c:f>
                <c:numCache>
                  <c:formatCode>General</c:formatCode>
                  <c:ptCount val="23"/>
                  <c:pt idx="0">
                    <c:v>0</c:v>
                  </c:pt>
                  <c:pt idx="1">
                    <c:v>1.5E-3</c:v>
                  </c:pt>
                  <c:pt idx="5">
                    <c:v>8.9999999999999998E-4</c:v>
                  </c:pt>
                  <c:pt idx="8">
                    <c:v>4.0000000000000002E-4</c:v>
                  </c:pt>
                  <c:pt idx="9">
                    <c:v>1.8E-3</c:v>
                  </c:pt>
                  <c:pt idx="10">
                    <c:v>6.9999999999999999E-4</c:v>
                  </c:pt>
                  <c:pt idx="14">
                    <c:v>1E-4</c:v>
                  </c:pt>
                  <c:pt idx="15">
                    <c:v>1.6000000000000001E-3</c:v>
                  </c:pt>
                  <c:pt idx="16">
                    <c:v>1.6000000000000001E-3</c:v>
                  </c:pt>
                  <c:pt idx="17">
                    <c:v>1.8E-3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(old)'!$F$21:$F$992</c:f>
              <c:numCache>
                <c:formatCode>General</c:formatCode>
                <c:ptCount val="972"/>
                <c:pt idx="0">
                  <c:v>0</c:v>
                </c:pt>
                <c:pt idx="1">
                  <c:v>17156.5</c:v>
                </c:pt>
                <c:pt idx="2">
                  <c:v>17214</c:v>
                </c:pt>
                <c:pt idx="3">
                  <c:v>17215</c:v>
                </c:pt>
                <c:pt idx="4">
                  <c:v>17215.5</c:v>
                </c:pt>
                <c:pt idx="5">
                  <c:v>17279.5</c:v>
                </c:pt>
                <c:pt idx="6">
                  <c:v>17351.5</c:v>
                </c:pt>
                <c:pt idx="7">
                  <c:v>19338</c:v>
                </c:pt>
                <c:pt idx="8">
                  <c:v>20608</c:v>
                </c:pt>
                <c:pt idx="9">
                  <c:v>20613</c:v>
                </c:pt>
                <c:pt idx="10">
                  <c:v>20624</c:v>
                </c:pt>
                <c:pt idx="11">
                  <c:v>20886.5</c:v>
                </c:pt>
                <c:pt idx="12">
                  <c:v>20888.5</c:v>
                </c:pt>
                <c:pt idx="13">
                  <c:v>20894</c:v>
                </c:pt>
                <c:pt idx="14">
                  <c:v>21318.5</c:v>
                </c:pt>
                <c:pt idx="15">
                  <c:v>21347.5</c:v>
                </c:pt>
                <c:pt idx="16">
                  <c:v>21353</c:v>
                </c:pt>
                <c:pt idx="17">
                  <c:v>21960</c:v>
                </c:pt>
              </c:numCache>
            </c:numRef>
          </c:xVal>
          <c:yVal>
            <c:numRef>
              <c:f>'A (old)'!$J$21:$J$992</c:f>
              <c:numCache>
                <c:formatCode>0.0000</c:formatCode>
                <c:ptCount val="972"/>
                <c:pt idx="1">
                  <c:v>-5.9418085002107546E-2</c:v>
                </c:pt>
                <c:pt idx="5">
                  <c:v>4.962844992405735E-3</c:v>
                </c:pt>
                <c:pt idx="8">
                  <c:v>0.10457727999892086</c:v>
                </c:pt>
                <c:pt idx="9">
                  <c:v>-4.7503170004347339E-2</c:v>
                </c:pt>
                <c:pt idx="15">
                  <c:v>-9.3131274996267166E-2</c:v>
                </c:pt>
                <c:pt idx="16">
                  <c:v>-8.6609770005452447E-2</c:v>
                </c:pt>
                <c:pt idx="17">
                  <c:v>-0.10373640000034356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0D2-40E2-BCAB-CB37D9209D47}"/>
            </c:ext>
          </c:extLst>
        </c:ser>
        <c:ser>
          <c:idx val="4"/>
          <c:order val="3"/>
          <c:tx>
            <c:strRef>
              <c:f>'A (old)'!$K$20</c:f>
              <c:strCache>
                <c:ptCount val="1"/>
                <c:pt idx="0">
                  <c:v>Krajci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 (old)'!$F$21:$F$992</c:f>
              <c:numCache>
                <c:formatCode>General</c:formatCode>
                <c:ptCount val="972"/>
                <c:pt idx="0">
                  <c:v>0</c:v>
                </c:pt>
                <c:pt idx="1">
                  <c:v>17156.5</c:v>
                </c:pt>
                <c:pt idx="2">
                  <c:v>17214</c:v>
                </c:pt>
                <c:pt idx="3">
                  <c:v>17215</c:v>
                </c:pt>
                <c:pt idx="4">
                  <c:v>17215.5</c:v>
                </c:pt>
                <c:pt idx="5">
                  <c:v>17279.5</c:v>
                </c:pt>
                <c:pt idx="6">
                  <c:v>17351.5</c:v>
                </c:pt>
                <c:pt idx="7">
                  <c:v>19338</c:v>
                </c:pt>
                <c:pt idx="8">
                  <c:v>20608</c:v>
                </c:pt>
                <c:pt idx="9">
                  <c:v>20613</c:v>
                </c:pt>
                <c:pt idx="10">
                  <c:v>20624</c:v>
                </c:pt>
                <c:pt idx="11">
                  <c:v>20886.5</c:v>
                </c:pt>
                <c:pt idx="12">
                  <c:v>20888.5</c:v>
                </c:pt>
                <c:pt idx="13">
                  <c:v>20894</c:v>
                </c:pt>
                <c:pt idx="14">
                  <c:v>21318.5</c:v>
                </c:pt>
                <c:pt idx="15">
                  <c:v>21347.5</c:v>
                </c:pt>
                <c:pt idx="16">
                  <c:v>21353</c:v>
                </c:pt>
                <c:pt idx="17">
                  <c:v>21960</c:v>
                </c:pt>
              </c:numCache>
            </c:numRef>
          </c:xVal>
          <c:yVal>
            <c:numRef>
              <c:f>'A (old)'!$K$21:$K$992</c:f>
              <c:numCache>
                <c:formatCode>0.0000</c:formatCode>
                <c:ptCount val="972"/>
                <c:pt idx="7">
                  <c:v>3.8115799980005249E-3</c:v>
                </c:pt>
                <c:pt idx="10">
                  <c:v>-3.8860159998876043E-2</c:v>
                </c:pt>
                <c:pt idx="11">
                  <c:v>-0.103333785009454</c:v>
                </c:pt>
                <c:pt idx="12">
                  <c:v>-0.12632596500043292</c:v>
                </c:pt>
                <c:pt idx="13">
                  <c:v>-0.1202044600067893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0D2-40E2-BCAB-CB37D9209D47}"/>
            </c:ext>
          </c:extLst>
        </c:ser>
        <c:ser>
          <c:idx val="2"/>
          <c:order val="4"/>
          <c:tx>
            <c:strRef>
              <c:f>'A (old)'!$L$20</c:f>
              <c:strCache>
                <c:ptCount val="1"/>
                <c:pt idx="0">
                  <c:v>Nelson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xVal>
            <c:numRef>
              <c:f>'A (old)'!$F$21:$F$992</c:f>
              <c:numCache>
                <c:formatCode>General</c:formatCode>
                <c:ptCount val="972"/>
                <c:pt idx="0">
                  <c:v>0</c:v>
                </c:pt>
                <c:pt idx="1">
                  <c:v>17156.5</c:v>
                </c:pt>
                <c:pt idx="2">
                  <c:v>17214</c:v>
                </c:pt>
                <c:pt idx="3">
                  <c:v>17215</c:v>
                </c:pt>
                <c:pt idx="4">
                  <c:v>17215.5</c:v>
                </c:pt>
                <c:pt idx="5">
                  <c:v>17279.5</c:v>
                </c:pt>
                <c:pt idx="6">
                  <c:v>17351.5</c:v>
                </c:pt>
                <c:pt idx="7">
                  <c:v>19338</c:v>
                </c:pt>
                <c:pt idx="8">
                  <c:v>20608</c:v>
                </c:pt>
                <c:pt idx="9">
                  <c:v>20613</c:v>
                </c:pt>
                <c:pt idx="10">
                  <c:v>20624</c:v>
                </c:pt>
                <c:pt idx="11">
                  <c:v>20886.5</c:v>
                </c:pt>
                <c:pt idx="12">
                  <c:v>20888.5</c:v>
                </c:pt>
                <c:pt idx="13">
                  <c:v>20894</c:v>
                </c:pt>
                <c:pt idx="14">
                  <c:v>21318.5</c:v>
                </c:pt>
                <c:pt idx="15">
                  <c:v>21347.5</c:v>
                </c:pt>
                <c:pt idx="16">
                  <c:v>21353</c:v>
                </c:pt>
                <c:pt idx="17">
                  <c:v>21960</c:v>
                </c:pt>
              </c:numCache>
            </c:numRef>
          </c:xVal>
          <c:yVal>
            <c:numRef>
              <c:f>'A (old)'!$L$21:$L$992</c:f>
              <c:numCache>
                <c:formatCode>0.0000</c:formatCode>
                <c:ptCount val="972"/>
                <c:pt idx="14">
                  <c:v>6.1555334999866318E-2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0D2-40E2-BCAB-CB37D9209D47}"/>
            </c:ext>
          </c:extLst>
        </c:ser>
        <c:ser>
          <c:idx val="5"/>
          <c:order val="5"/>
          <c:tx>
            <c:strRef>
              <c:f>'A (old)'!$M$20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'A (old)'!$F$21:$F$992</c:f>
              <c:numCache>
                <c:formatCode>General</c:formatCode>
                <c:ptCount val="972"/>
                <c:pt idx="0">
                  <c:v>0</c:v>
                </c:pt>
                <c:pt idx="1">
                  <c:v>17156.5</c:v>
                </c:pt>
                <c:pt idx="2">
                  <c:v>17214</c:v>
                </c:pt>
                <c:pt idx="3">
                  <c:v>17215</c:v>
                </c:pt>
                <c:pt idx="4">
                  <c:v>17215.5</c:v>
                </c:pt>
                <c:pt idx="5">
                  <c:v>17279.5</c:v>
                </c:pt>
                <c:pt idx="6">
                  <c:v>17351.5</c:v>
                </c:pt>
                <c:pt idx="7">
                  <c:v>19338</c:v>
                </c:pt>
                <c:pt idx="8">
                  <c:v>20608</c:v>
                </c:pt>
                <c:pt idx="9">
                  <c:v>20613</c:v>
                </c:pt>
                <c:pt idx="10">
                  <c:v>20624</c:v>
                </c:pt>
                <c:pt idx="11">
                  <c:v>20886.5</c:v>
                </c:pt>
                <c:pt idx="12">
                  <c:v>20888.5</c:v>
                </c:pt>
                <c:pt idx="13">
                  <c:v>20894</c:v>
                </c:pt>
                <c:pt idx="14">
                  <c:v>21318.5</c:v>
                </c:pt>
                <c:pt idx="15">
                  <c:v>21347.5</c:v>
                </c:pt>
                <c:pt idx="16">
                  <c:v>21353</c:v>
                </c:pt>
                <c:pt idx="17">
                  <c:v>21960</c:v>
                </c:pt>
              </c:numCache>
            </c:numRef>
          </c:xVal>
          <c:yVal>
            <c:numRef>
              <c:f>'A (old)'!$M$21:$M$992</c:f>
              <c:numCache>
                <c:formatCode>0.0000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0D2-40E2-BCAB-CB37D9209D47}"/>
            </c:ext>
          </c:extLst>
        </c:ser>
        <c:ser>
          <c:idx val="6"/>
          <c:order val="6"/>
          <c:tx>
            <c:strRef>
              <c:f>'A (old)'!$N$20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 (old)'!$F$21:$F$992</c:f>
              <c:numCache>
                <c:formatCode>General</c:formatCode>
                <c:ptCount val="972"/>
                <c:pt idx="0">
                  <c:v>0</c:v>
                </c:pt>
                <c:pt idx="1">
                  <c:v>17156.5</c:v>
                </c:pt>
                <c:pt idx="2">
                  <c:v>17214</c:v>
                </c:pt>
                <c:pt idx="3">
                  <c:v>17215</c:v>
                </c:pt>
                <c:pt idx="4">
                  <c:v>17215.5</c:v>
                </c:pt>
                <c:pt idx="5">
                  <c:v>17279.5</c:v>
                </c:pt>
                <c:pt idx="6">
                  <c:v>17351.5</c:v>
                </c:pt>
                <c:pt idx="7">
                  <c:v>19338</c:v>
                </c:pt>
                <c:pt idx="8">
                  <c:v>20608</c:v>
                </c:pt>
                <c:pt idx="9">
                  <c:v>20613</c:v>
                </c:pt>
                <c:pt idx="10">
                  <c:v>20624</c:v>
                </c:pt>
                <c:pt idx="11">
                  <c:v>20886.5</c:v>
                </c:pt>
                <c:pt idx="12">
                  <c:v>20888.5</c:v>
                </c:pt>
                <c:pt idx="13">
                  <c:v>20894</c:v>
                </c:pt>
                <c:pt idx="14">
                  <c:v>21318.5</c:v>
                </c:pt>
                <c:pt idx="15">
                  <c:v>21347.5</c:v>
                </c:pt>
                <c:pt idx="16">
                  <c:v>21353</c:v>
                </c:pt>
                <c:pt idx="17">
                  <c:v>21960</c:v>
                </c:pt>
              </c:numCache>
            </c:numRef>
          </c:xVal>
          <c:yVal>
            <c:numRef>
              <c:f>'A (old)'!$N$21:$N$992</c:f>
              <c:numCache>
                <c:formatCode>0.0000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0D2-40E2-BCAB-CB37D9209D47}"/>
            </c:ext>
          </c:extLst>
        </c:ser>
        <c:ser>
          <c:idx val="7"/>
          <c:order val="7"/>
          <c:tx>
            <c:strRef>
              <c:f>'A (old)'!$O$20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'A (old)'!$F$21:$F$992</c:f>
              <c:numCache>
                <c:formatCode>General</c:formatCode>
                <c:ptCount val="972"/>
                <c:pt idx="0">
                  <c:v>0</c:v>
                </c:pt>
                <c:pt idx="1">
                  <c:v>17156.5</c:v>
                </c:pt>
                <c:pt idx="2">
                  <c:v>17214</c:v>
                </c:pt>
                <c:pt idx="3">
                  <c:v>17215</c:v>
                </c:pt>
                <c:pt idx="4">
                  <c:v>17215.5</c:v>
                </c:pt>
                <c:pt idx="5">
                  <c:v>17279.5</c:v>
                </c:pt>
                <c:pt idx="6">
                  <c:v>17351.5</c:v>
                </c:pt>
                <c:pt idx="7">
                  <c:v>19338</c:v>
                </c:pt>
                <c:pt idx="8">
                  <c:v>20608</c:v>
                </c:pt>
                <c:pt idx="9">
                  <c:v>20613</c:v>
                </c:pt>
                <c:pt idx="10">
                  <c:v>20624</c:v>
                </c:pt>
                <c:pt idx="11">
                  <c:v>20886.5</c:v>
                </c:pt>
                <c:pt idx="12">
                  <c:v>20888.5</c:v>
                </c:pt>
                <c:pt idx="13">
                  <c:v>20894</c:v>
                </c:pt>
                <c:pt idx="14">
                  <c:v>21318.5</c:v>
                </c:pt>
                <c:pt idx="15">
                  <c:v>21347.5</c:v>
                </c:pt>
                <c:pt idx="16">
                  <c:v>21353</c:v>
                </c:pt>
                <c:pt idx="17">
                  <c:v>21960</c:v>
                </c:pt>
              </c:numCache>
            </c:numRef>
          </c:xVal>
          <c:yVal>
            <c:numRef>
              <c:f>'A (old)'!$O$21:$O$992</c:f>
              <c:numCache>
                <c:formatCode>0.0000</c:formatCode>
                <c:ptCount val="972"/>
                <c:pt idx="0">
                  <c:v>2.5281185712279677E-2</c:v>
                </c:pt>
                <c:pt idx="1">
                  <c:v>-3.0871342319143347E-2</c:v>
                </c:pt>
                <c:pt idx="2">
                  <c:v>-3.1059537484929303E-2</c:v>
                </c:pt>
                <c:pt idx="3">
                  <c:v>-3.1062810444334274E-2</c:v>
                </c:pt>
                <c:pt idx="4">
                  <c:v>-3.1064446924036766E-2</c:v>
                </c:pt>
                <c:pt idx="5">
                  <c:v>-3.1273916325955047E-2</c:v>
                </c:pt>
                <c:pt idx="6">
                  <c:v>-3.150956940311312E-2</c:v>
                </c:pt>
                <c:pt idx="7">
                  <c:v>-3.8011303261092422E-2</c:v>
                </c:pt>
                <c:pt idx="8">
                  <c:v>-4.2167961705408402E-2</c:v>
                </c:pt>
                <c:pt idx="9">
                  <c:v>-4.218432650243327E-2</c:v>
                </c:pt>
                <c:pt idx="10">
                  <c:v>-4.2220329055887976E-2</c:v>
                </c:pt>
                <c:pt idx="11">
                  <c:v>-4.3079480899693448E-2</c:v>
                </c:pt>
                <c:pt idx="12">
                  <c:v>-4.308602681850339E-2</c:v>
                </c:pt>
                <c:pt idx="13">
                  <c:v>-4.3104028095230743E-2</c:v>
                </c:pt>
                <c:pt idx="14">
                  <c:v>-4.4493399362641878E-2</c:v>
                </c:pt>
                <c:pt idx="15">
                  <c:v>-4.4588315185386099E-2</c:v>
                </c:pt>
                <c:pt idx="16">
                  <c:v>-4.4606316462113452E-2</c:v>
                </c:pt>
                <c:pt idx="17">
                  <c:v>-4.6593002820932192E-2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0D2-40E2-BCAB-CB37D9209D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08198336"/>
        <c:axId val="1"/>
      </c:scatterChart>
      <c:valAx>
        <c:axId val="508198336"/>
        <c:scaling>
          <c:orientation val="minMax"/>
        </c:scaling>
        <c:delete val="0"/>
        <c:axPos val="b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785748372362539"/>
              <c:y val="0.879155347273433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2.2727272727272728E-2"/>
              <c:y val="0.38368643496602195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0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0819833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13798718342025429"/>
          <c:y val="0.93051486388974791"/>
          <c:w val="0.95454630671166096"/>
          <c:h val="0.99093782461482349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V731 Her - O-C Diagr.</a:t>
            </a:r>
          </a:p>
        </c:rich>
      </c:tx>
      <c:layout>
        <c:manualLayout>
          <c:xMode val="edge"/>
          <c:yMode val="edge"/>
          <c:x val="0.37269970854870133"/>
          <c:y val="1.60771704180064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736204359336327"/>
          <c:y val="9.0032154340836015E-2"/>
          <c:w val="0.86043009222681133"/>
          <c:h val="0.72025723472668812"/>
        </c:manualLayout>
      </c:layout>
      <c:scatterChart>
        <c:scatterStyle val="lineMarker"/>
        <c:varyColors val="0"/>
        <c:ser>
          <c:idx val="0"/>
          <c:order val="0"/>
          <c:tx>
            <c:strRef>
              <c:f>B!$H$20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B!$F$21:$F$994</c:f>
              <c:numCache>
                <c:formatCode>General</c:formatCode>
                <c:ptCount val="974"/>
                <c:pt idx="0">
                  <c:v>-2</c:v>
                </c:pt>
                <c:pt idx="1">
                  <c:v>18598</c:v>
                </c:pt>
                <c:pt idx="2">
                  <c:v>18660.5</c:v>
                </c:pt>
                <c:pt idx="3">
                  <c:v>18661.5</c:v>
                </c:pt>
                <c:pt idx="4">
                  <c:v>18662</c:v>
                </c:pt>
                <c:pt idx="5">
                  <c:v>18731.5</c:v>
                </c:pt>
                <c:pt idx="6">
                  <c:v>18809.5</c:v>
                </c:pt>
                <c:pt idx="7">
                  <c:v>20963</c:v>
                </c:pt>
                <c:pt idx="8">
                  <c:v>22340</c:v>
                </c:pt>
                <c:pt idx="9">
                  <c:v>22345</c:v>
                </c:pt>
                <c:pt idx="10">
                  <c:v>22357.5</c:v>
                </c:pt>
                <c:pt idx="11">
                  <c:v>22642</c:v>
                </c:pt>
                <c:pt idx="12">
                  <c:v>22644</c:v>
                </c:pt>
                <c:pt idx="13">
                  <c:v>22650</c:v>
                </c:pt>
                <c:pt idx="14">
                  <c:v>23110.5</c:v>
                </c:pt>
                <c:pt idx="15">
                  <c:v>23142</c:v>
                </c:pt>
                <c:pt idx="16">
                  <c:v>23148</c:v>
                </c:pt>
                <c:pt idx="17">
                  <c:v>23806</c:v>
                </c:pt>
              </c:numCache>
            </c:numRef>
          </c:xVal>
          <c:yVal>
            <c:numRef>
              <c:f>B!$H$21:$H$994</c:f>
              <c:numCache>
                <c:formatCode>0.0000</c:formatCode>
                <c:ptCount val="974"/>
                <c:pt idx="0">
                  <c:v>0.99995800000033341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AF2-40FA-B2A4-9B6297CA9FF0}"/>
            </c:ext>
          </c:extLst>
        </c:ser>
        <c:ser>
          <c:idx val="1"/>
          <c:order val="1"/>
          <c:tx>
            <c:strRef>
              <c:f>B!$I$20</c:f>
              <c:strCache>
                <c:ptCount val="1"/>
                <c:pt idx="0">
                  <c:v>ROTSE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B!$D$22:$D$45</c:f>
                <c:numCache>
                  <c:formatCode>General</c:formatCode>
                  <c:ptCount val="24"/>
                  <c:pt idx="0">
                    <c:v>1.5E-3</c:v>
                  </c:pt>
                  <c:pt idx="4">
                    <c:v>8.9999999999999998E-4</c:v>
                  </c:pt>
                  <c:pt idx="6">
                    <c:v>8.9999999999999998E-4</c:v>
                  </c:pt>
                  <c:pt idx="7">
                    <c:v>6.9999999999999999E-4</c:v>
                  </c:pt>
                  <c:pt idx="8">
                    <c:v>1E-3</c:v>
                  </c:pt>
                  <c:pt idx="9">
                    <c:v>8.0000000000000004E-4</c:v>
                  </c:pt>
                  <c:pt idx="10">
                    <c:v>2.0000000000000001E-4</c:v>
                  </c:pt>
                  <c:pt idx="11">
                    <c:v>4.0000000000000002E-4</c:v>
                  </c:pt>
                  <c:pt idx="12">
                    <c:v>1E-4</c:v>
                  </c:pt>
                  <c:pt idx="13">
                    <c:v>1.0001</c:v>
                  </c:pt>
                  <c:pt idx="14">
                    <c:v>2.0001000000000002</c:v>
                  </c:pt>
                  <c:pt idx="15">
                    <c:v>3.0001000000000002</c:v>
                  </c:pt>
                  <c:pt idx="16">
                    <c:v>4.0000999999999998</c:v>
                  </c:pt>
                </c:numCache>
              </c:numRef>
            </c:plus>
            <c:minus>
              <c:numLit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2.2000000000000001E-3</c:v>
                </c:pt>
              </c:numLit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B!$F$21:$F$994</c:f>
              <c:numCache>
                <c:formatCode>General</c:formatCode>
                <c:ptCount val="974"/>
                <c:pt idx="0">
                  <c:v>-2</c:v>
                </c:pt>
                <c:pt idx="1">
                  <c:v>18598</c:v>
                </c:pt>
                <c:pt idx="2">
                  <c:v>18660.5</c:v>
                </c:pt>
                <c:pt idx="3">
                  <c:v>18661.5</c:v>
                </c:pt>
                <c:pt idx="4">
                  <c:v>18662</c:v>
                </c:pt>
                <c:pt idx="5">
                  <c:v>18731.5</c:v>
                </c:pt>
                <c:pt idx="6">
                  <c:v>18809.5</c:v>
                </c:pt>
                <c:pt idx="7">
                  <c:v>20963</c:v>
                </c:pt>
                <c:pt idx="8">
                  <c:v>22340</c:v>
                </c:pt>
                <c:pt idx="9">
                  <c:v>22345</c:v>
                </c:pt>
                <c:pt idx="10">
                  <c:v>22357.5</c:v>
                </c:pt>
                <c:pt idx="11">
                  <c:v>22642</c:v>
                </c:pt>
                <c:pt idx="12">
                  <c:v>22644</c:v>
                </c:pt>
                <c:pt idx="13">
                  <c:v>22650</c:v>
                </c:pt>
                <c:pt idx="14">
                  <c:v>23110.5</c:v>
                </c:pt>
                <c:pt idx="15">
                  <c:v>23142</c:v>
                </c:pt>
                <c:pt idx="16">
                  <c:v>23148</c:v>
                </c:pt>
                <c:pt idx="17">
                  <c:v>23806</c:v>
                </c:pt>
              </c:numCache>
            </c:numRef>
          </c:xVal>
          <c:yVal>
            <c:numRef>
              <c:f>B!$I$21:$I$994</c:f>
              <c:numCache>
                <c:formatCode>0.0000</c:formatCode>
                <c:ptCount val="974"/>
                <c:pt idx="2">
                  <c:v>6.3870499994663987E-2</c:v>
                </c:pt>
                <c:pt idx="3">
                  <c:v>0.10589149999577785</c:v>
                </c:pt>
                <c:pt idx="4">
                  <c:v>6.9102000001294073E-2</c:v>
                </c:pt>
                <c:pt idx="6">
                  <c:v>8.399949999875389E-2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AF2-40FA-B2A4-9B6297CA9FF0}"/>
            </c:ext>
          </c:extLst>
        </c:ser>
        <c:ser>
          <c:idx val="3"/>
          <c:order val="2"/>
          <c:tx>
            <c:strRef>
              <c:f>B!$J$20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B!$D$21:$D$45</c:f>
                <c:numCache>
                  <c:formatCode>General</c:formatCode>
                  <c:ptCount val="25"/>
                  <c:pt idx="0">
                    <c:v>0</c:v>
                  </c:pt>
                  <c:pt idx="1">
                    <c:v>1.5E-3</c:v>
                  </c:pt>
                  <c:pt idx="5">
                    <c:v>8.9999999999999998E-4</c:v>
                  </c:pt>
                  <c:pt idx="7">
                    <c:v>8.9999999999999998E-4</c:v>
                  </c:pt>
                  <c:pt idx="8">
                    <c:v>6.9999999999999999E-4</c:v>
                  </c:pt>
                  <c:pt idx="9">
                    <c:v>1E-3</c:v>
                  </c:pt>
                  <c:pt idx="10">
                    <c:v>8.0000000000000004E-4</c:v>
                  </c:pt>
                  <c:pt idx="11">
                    <c:v>2.0000000000000001E-4</c:v>
                  </c:pt>
                  <c:pt idx="12">
                    <c:v>4.0000000000000002E-4</c:v>
                  </c:pt>
                  <c:pt idx="13">
                    <c:v>1E-4</c:v>
                  </c:pt>
                  <c:pt idx="14">
                    <c:v>1.0001</c:v>
                  </c:pt>
                  <c:pt idx="15">
                    <c:v>2.0001000000000002</c:v>
                  </c:pt>
                  <c:pt idx="16">
                    <c:v>3.0001000000000002</c:v>
                  </c:pt>
                  <c:pt idx="17">
                    <c:v>4.0000999999999998</c:v>
                  </c:pt>
                </c:numCache>
              </c:numRef>
            </c:plus>
            <c:minus>
              <c:numRef>
                <c:f>B!$D$21:$D$45</c:f>
                <c:numCache>
                  <c:formatCode>General</c:formatCode>
                  <c:ptCount val="25"/>
                  <c:pt idx="0">
                    <c:v>0</c:v>
                  </c:pt>
                  <c:pt idx="1">
                    <c:v>1.5E-3</c:v>
                  </c:pt>
                  <c:pt idx="5">
                    <c:v>8.9999999999999998E-4</c:v>
                  </c:pt>
                  <c:pt idx="7">
                    <c:v>8.9999999999999998E-4</c:v>
                  </c:pt>
                  <c:pt idx="8">
                    <c:v>6.9999999999999999E-4</c:v>
                  </c:pt>
                  <c:pt idx="9">
                    <c:v>1E-3</c:v>
                  </c:pt>
                  <c:pt idx="10">
                    <c:v>8.0000000000000004E-4</c:v>
                  </c:pt>
                  <c:pt idx="11">
                    <c:v>2.0000000000000001E-4</c:v>
                  </c:pt>
                  <c:pt idx="12">
                    <c:v>4.0000000000000002E-4</c:v>
                  </c:pt>
                  <c:pt idx="13">
                    <c:v>1E-4</c:v>
                  </c:pt>
                  <c:pt idx="14">
                    <c:v>1.0001</c:v>
                  </c:pt>
                  <c:pt idx="15">
                    <c:v>2.0001000000000002</c:v>
                  </c:pt>
                  <c:pt idx="16">
                    <c:v>3.0001000000000002</c:v>
                  </c:pt>
                  <c:pt idx="17">
                    <c:v>4.0000999999999998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B!$F$21:$F$994</c:f>
              <c:numCache>
                <c:formatCode>General</c:formatCode>
                <c:ptCount val="974"/>
                <c:pt idx="0">
                  <c:v>-2</c:v>
                </c:pt>
                <c:pt idx="1">
                  <c:v>18598</c:v>
                </c:pt>
                <c:pt idx="2">
                  <c:v>18660.5</c:v>
                </c:pt>
                <c:pt idx="3">
                  <c:v>18661.5</c:v>
                </c:pt>
                <c:pt idx="4">
                  <c:v>18662</c:v>
                </c:pt>
                <c:pt idx="5">
                  <c:v>18731.5</c:v>
                </c:pt>
                <c:pt idx="6">
                  <c:v>18809.5</c:v>
                </c:pt>
                <c:pt idx="7">
                  <c:v>20963</c:v>
                </c:pt>
                <c:pt idx="8">
                  <c:v>22340</c:v>
                </c:pt>
                <c:pt idx="9">
                  <c:v>22345</c:v>
                </c:pt>
                <c:pt idx="10">
                  <c:v>22357.5</c:v>
                </c:pt>
                <c:pt idx="11">
                  <c:v>22642</c:v>
                </c:pt>
                <c:pt idx="12">
                  <c:v>22644</c:v>
                </c:pt>
                <c:pt idx="13">
                  <c:v>22650</c:v>
                </c:pt>
                <c:pt idx="14">
                  <c:v>23110.5</c:v>
                </c:pt>
                <c:pt idx="15">
                  <c:v>23142</c:v>
                </c:pt>
                <c:pt idx="16">
                  <c:v>23148</c:v>
                </c:pt>
                <c:pt idx="17">
                  <c:v>23806</c:v>
                </c:pt>
              </c:numCache>
            </c:numRef>
          </c:xVal>
          <c:yVal>
            <c:numRef>
              <c:f>B!$J$21:$J$994</c:f>
              <c:numCache>
                <c:formatCode>0.0000</c:formatCode>
                <c:ptCount val="974"/>
                <c:pt idx="1">
                  <c:v>8.705799999734154E-2</c:v>
                </c:pt>
                <c:pt idx="5">
                  <c:v>6.9761499995365739E-2</c:v>
                </c:pt>
                <c:pt idx="8">
                  <c:v>2.9139999998733401E-2</c:v>
                </c:pt>
                <c:pt idx="9">
                  <c:v>8.714499999769032E-2</c:v>
                </c:pt>
                <c:pt idx="15">
                  <c:v>-0.34561799999937648</c:v>
                </c:pt>
                <c:pt idx="16">
                  <c:v>-0.35799200000474229</c:v>
                </c:pt>
                <c:pt idx="17">
                  <c:v>-0.36967399999412009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AF2-40FA-B2A4-9B6297CA9FF0}"/>
            </c:ext>
          </c:extLst>
        </c:ser>
        <c:ser>
          <c:idx val="4"/>
          <c:order val="3"/>
          <c:tx>
            <c:strRef>
              <c:f>B!$K$20</c:f>
              <c:strCache>
                <c:ptCount val="1"/>
                <c:pt idx="0">
                  <c:v>Krajci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B!$F$21:$F$994</c:f>
              <c:numCache>
                <c:formatCode>General</c:formatCode>
                <c:ptCount val="974"/>
                <c:pt idx="0">
                  <c:v>-2</c:v>
                </c:pt>
                <c:pt idx="1">
                  <c:v>18598</c:v>
                </c:pt>
                <c:pt idx="2">
                  <c:v>18660.5</c:v>
                </c:pt>
                <c:pt idx="3">
                  <c:v>18661.5</c:v>
                </c:pt>
                <c:pt idx="4">
                  <c:v>18662</c:v>
                </c:pt>
                <c:pt idx="5">
                  <c:v>18731.5</c:v>
                </c:pt>
                <c:pt idx="6">
                  <c:v>18809.5</c:v>
                </c:pt>
                <c:pt idx="7">
                  <c:v>20963</c:v>
                </c:pt>
                <c:pt idx="8">
                  <c:v>22340</c:v>
                </c:pt>
                <c:pt idx="9">
                  <c:v>22345</c:v>
                </c:pt>
                <c:pt idx="10">
                  <c:v>22357.5</c:v>
                </c:pt>
                <c:pt idx="11">
                  <c:v>22642</c:v>
                </c:pt>
                <c:pt idx="12">
                  <c:v>22644</c:v>
                </c:pt>
                <c:pt idx="13">
                  <c:v>22650</c:v>
                </c:pt>
                <c:pt idx="14">
                  <c:v>23110.5</c:v>
                </c:pt>
                <c:pt idx="15">
                  <c:v>23142</c:v>
                </c:pt>
                <c:pt idx="16">
                  <c:v>23148</c:v>
                </c:pt>
                <c:pt idx="17">
                  <c:v>23806</c:v>
                </c:pt>
              </c:numCache>
            </c:numRef>
          </c:xVal>
          <c:yVal>
            <c:numRef>
              <c:f>B!$K$21:$K$994</c:f>
              <c:numCache>
                <c:formatCode>0.0000</c:formatCode>
                <c:ptCount val="974"/>
                <c:pt idx="10">
                  <c:v>-0.19199250000383472</c:v>
                </c:pt>
                <c:pt idx="11">
                  <c:v>-0.22651800000312505</c:v>
                </c:pt>
                <c:pt idx="12">
                  <c:v>-0.16547600000194507</c:v>
                </c:pt>
                <c:pt idx="13">
                  <c:v>-0.17825000000448199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AF2-40FA-B2A4-9B6297CA9FF0}"/>
            </c:ext>
          </c:extLst>
        </c:ser>
        <c:ser>
          <c:idx val="2"/>
          <c:order val="4"/>
          <c:tx>
            <c:strRef>
              <c:f>B!$L$20</c:f>
              <c:strCache>
                <c:ptCount val="1"/>
                <c:pt idx="0">
                  <c:v>Nelson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xVal>
            <c:numRef>
              <c:f>B!$F$21:$F$994</c:f>
              <c:numCache>
                <c:formatCode>General</c:formatCode>
                <c:ptCount val="974"/>
                <c:pt idx="0">
                  <c:v>-2</c:v>
                </c:pt>
                <c:pt idx="1">
                  <c:v>18598</c:v>
                </c:pt>
                <c:pt idx="2">
                  <c:v>18660.5</c:v>
                </c:pt>
                <c:pt idx="3">
                  <c:v>18661.5</c:v>
                </c:pt>
                <c:pt idx="4">
                  <c:v>18662</c:v>
                </c:pt>
                <c:pt idx="5">
                  <c:v>18731.5</c:v>
                </c:pt>
                <c:pt idx="6">
                  <c:v>18809.5</c:v>
                </c:pt>
                <c:pt idx="7">
                  <c:v>20963</c:v>
                </c:pt>
                <c:pt idx="8">
                  <c:v>22340</c:v>
                </c:pt>
                <c:pt idx="9">
                  <c:v>22345</c:v>
                </c:pt>
                <c:pt idx="10">
                  <c:v>22357.5</c:v>
                </c:pt>
                <c:pt idx="11">
                  <c:v>22642</c:v>
                </c:pt>
                <c:pt idx="12">
                  <c:v>22644</c:v>
                </c:pt>
                <c:pt idx="13">
                  <c:v>22650</c:v>
                </c:pt>
                <c:pt idx="14">
                  <c:v>23110.5</c:v>
                </c:pt>
                <c:pt idx="15">
                  <c:v>23142</c:v>
                </c:pt>
                <c:pt idx="16">
                  <c:v>23148</c:v>
                </c:pt>
                <c:pt idx="17">
                  <c:v>23806</c:v>
                </c:pt>
              </c:numCache>
            </c:numRef>
          </c:xVal>
          <c:yVal>
            <c:numRef>
              <c:f>B!$L$21:$L$994</c:f>
              <c:numCache>
                <c:formatCode>0.0000</c:formatCode>
                <c:ptCount val="974"/>
                <c:pt idx="14">
                  <c:v>-0.15947950000554556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AF2-40FA-B2A4-9B6297CA9FF0}"/>
            </c:ext>
          </c:extLst>
        </c:ser>
        <c:ser>
          <c:idx val="5"/>
          <c:order val="5"/>
          <c:tx>
            <c:strRef>
              <c:f>B!$M$20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B!$F$21:$F$994</c:f>
              <c:numCache>
                <c:formatCode>General</c:formatCode>
                <c:ptCount val="974"/>
                <c:pt idx="0">
                  <c:v>-2</c:v>
                </c:pt>
                <c:pt idx="1">
                  <c:v>18598</c:v>
                </c:pt>
                <c:pt idx="2">
                  <c:v>18660.5</c:v>
                </c:pt>
                <c:pt idx="3">
                  <c:v>18661.5</c:v>
                </c:pt>
                <c:pt idx="4">
                  <c:v>18662</c:v>
                </c:pt>
                <c:pt idx="5">
                  <c:v>18731.5</c:v>
                </c:pt>
                <c:pt idx="6">
                  <c:v>18809.5</c:v>
                </c:pt>
                <c:pt idx="7">
                  <c:v>20963</c:v>
                </c:pt>
                <c:pt idx="8">
                  <c:v>22340</c:v>
                </c:pt>
                <c:pt idx="9">
                  <c:v>22345</c:v>
                </c:pt>
                <c:pt idx="10">
                  <c:v>22357.5</c:v>
                </c:pt>
                <c:pt idx="11">
                  <c:v>22642</c:v>
                </c:pt>
                <c:pt idx="12">
                  <c:v>22644</c:v>
                </c:pt>
                <c:pt idx="13">
                  <c:v>22650</c:v>
                </c:pt>
                <c:pt idx="14">
                  <c:v>23110.5</c:v>
                </c:pt>
                <c:pt idx="15">
                  <c:v>23142</c:v>
                </c:pt>
                <c:pt idx="16">
                  <c:v>23148</c:v>
                </c:pt>
                <c:pt idx="17">
                  <c:v>23806</c:v>
                </c:pt>
              </c:numCache>
            </c:numRef>
          </c:xVal>
          <c:yVal>
            <c:numRef>
              <c:f>B!$M$21:$M$994</c:f>
              <c:numCache>
                <c:formatCode>0.0000</c:formatCode>
                <c:ptCount val="974"/>
                <c:pt idx="7">
                  <c:v>6.4422999996168073E-2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AF2-40FA-B2A4-9B6297CA9FF0}"/>
            </c:ext>
          </c:extLst>
        </c:ser>
        <c:ser>
          <c:idx val="6"/>
          <c:order val="6"/>
          <c:tx>
            <c:strRef>
              <c:f>B!$N$20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B!$F$21:$F$994</c:f>
              <c:numCache>
                <c:formatCode>General</c:formatCode>
                <c:ptCount val="974"/>
                <c:pt idx="0">
                  <c:v>-2</c:v>
                </c:pt>
                <c:pt idx="1">
                  <c:v>18598</c:v>
                </c:pt>
                <c:pt idx="2">
                  <c:v>18660.5</c:v>
                </c:pt>
                <c:pt idx="3">
                  <c:v>18661.5</c:v>
                </c:pt>
                <c:pt idx="4">
                  <c:v>18662</c:v>
                </c:pt>
                <c:pt idx="5">
                  <c:v>18731.5</c:v>
                </c:pt>
                <c:pt idx="6">
                  <c:v>18809.5</c:v>
                </c:pt>
                <c:pt idx="7">
                  <c:v>20963</c:v>
                </c:pt>
                <c:pt idx="8">
                  <c:v>22340</c:v>
                </c:pt>
                <c:pt idx="9">
                  <c:v>22345</c:v>
                </c:pt>
                <c:pt idx="10">
                  <c:v>22357.5</c:v>
                </c:pt>
                <c:pt idx="11">
                  <c:v>22642</c:v>
                </c:pt>
                <c:pt idx="12">
                  <c:v>22644</c:v>
                </c:pt>
                <c:pt idx="13">
                  <c:v>22650</c:v>
                </c:pt>
                <c:pt idx="14">
                  <c:v>23110.5</c:v>
                </c:pt>
                <c:pt idx="15">
                  <c:v>23142</c:v>
                </c:pt>
                <c:pt idx="16">
                  <c:v>23148</c:v>
                </c:pt>
                <c:pt idx="17">
                  <c:v>23806</c:v>
                </c:pt>
              </c:numCache>
            </c:numRef>
          </c:xVal>
          <c:yVal>
            <c:numRef>
              <c:f>B!$N$21:$N$994</c:f>
              <c:numCache>
                <c:formatCode>0.0000</c:formatCode>
                <c:ptCount val="974"/>
                <c:pt idx="0">
                  <c:v>1.4324365065781286</c:v>
                </c:pt>
                <c:pt idx="1">
                  <c:v>0.1101183798409564</c:v>
                </c:pt>
                <c:pt idx="2">
                  <c:v>0.10567510656562984</c:v>
                </c:pt>
                <c:pt idx="3">
                  <c:v>0.10560401419322463</c:v>
                </c:pt>
                <c:pt idx="4">
                  <c:v>0.10556846800702213</c:v>
                </c:pt>
                <c:pt idx="5">
                  <c:v>0.10062754812485908</c:v>
                </c:pt>
                <c:pt idx="6">
                  <c:v>9.5082343077251608E-2</c:v>
                </c:pt>
                <c:pt idx="7">
                  <c:v>-5.801508089739893E-2</c:v>
                </c:pt>
                <c:pt idx="8">
                  <c:v>-0.15590927769939289</c:v>
                </c:pt>
                <c:pt idx="9">
                  <c:v>-0.15626473956141895</c:v>
                </c:pt>
                <c:pt idx="10">
                  <c:v>-0.15715339421648444</c:v>
                </c:pt>
                <c:pt idx="11">
                  <c:v>-0.17737917416577065</c:v>
                </c:pt>
                <c:pt idx="12">
                  <c:v>-0.17752135891058107</c:v>
                </c:pt>
                <c:pt idx="13">
                  <c:v>-0.17794791314501235</c:v>
                </c:pt>
                <c:pt idx="14">
                  <c:v>-0.21068595063761819</c:v>
                </c:pt>
                <c:pt idx="15">
                  <c:v>-0.21292536036838272</c:v>
                </c:pt>
                <c:pt idx="16">
                  <c:v>-0.21335191460281422</c:v>
                </c:pt>
                <c:pt idx="17">
                  <c:v>-0.26013069564545166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AF2-40FA-B2A4-9B6297CA9F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97365136"/>
        <c:axId val="1"/>
      </c:scatterChart>
      <c:valAx>
        <c:axId val="697365136"/>
        <c:scaling>
          <c:orientation val="minMax"/>
        </c:scaling>
        <c:delete val="0"/>
        <c:axPos val="b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minorGridlines>
          <c:spPr>
            <a:ln w="3175">
              <a:solidFill>
                <a:srgbClr val="80808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840523002109395"/>
              <c:y val="0.8713826366559485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  <c:majorUnit val="2000"/>
        <c:minorUnit val="2000"/>
      </c:valAx>
      <c:valAx>
        <c:axId val="1"/>
        <c:scaling>
          <c:orientation val="minMax"/>
          <c:max val="1"/>
          <c:min val="-0.2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2.1472392638036811E-2"/>
              <c:y val="0.3536977491961415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0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9736513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9478543709643656"/>
          <c:y val="0.92604501607717038"/>
          <c:w val="0.69785324380464719"/>
          <c:h val="6.430868167202574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V731 Her - O-C Diagr.</a:t>
            </a:r>
          </a:p>
        </c:rich>
      </c:tx>
      <c:layout>
        <c:manualLayout>
          <c:xMode val="edge"/>
          <c:yMode val="edge"/>
          <c:x val="0.35387360910872057"/>
          <c:y val="1.59235668789808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323954256260192"/>
          <c:y val="8.9171974522292988E-2"/>
          <c:w val="0.83978945431944452"/>
          <c:h val="0.72292993630573243"/>
        </c:manualLayout>
      </c:layout>
      <c:scatterChart>
        <c:scatterStyle val="lineMarker"/>
        <c:varyColors val="0"/>
        <c:ser>
          <c:idx val="0"/>
          <c:order val="0"/>
          <c:tx>
            <c:strRef>
              <c:f>'C'!$H$20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'C'!$F$21:$F$994</c:f>
              <c:numCache>
                <c:formatCode>General</c:formatCode>
                <c:ptCount val="974"/>
                <c:pt idx="0">
                  <c:v>0</c:v>
                </c:pt>
                <c:pt idx="1">
                  <c:v>18599</c:v>
                </c:pt>
                <c:pt idx="2">
                  <c:v>18661.5</c:v>
                </c:pt>
                <c:pt idx="3">
                  <c:v>18662.5</c:v>
                </c:pt>
                <c:pt idx="4">
                  <c:v>18663</c:v>
                </c:pt>
                <c:pt idx="5">
                  <c:v>18732.5</c:v>
                </c:pt>
                <c:pt idx="6">
                  <c:v>18810.5</c:v>
                </c:pt>
                <c:pt idx="7">
                  <c:v>20964</c:v>
                </c:pt>
                <c:pt idx="8">
                  <c:v>22341</c:v>
                </c:pt>
                <c:pt idx="9">
                  <c:v>22346</c:v>
                </c:pt>
                <c:pt idx="10">
                  <c:v>22358.5</c:v>
                </c:pt>
                <c:pt idx="11">
                  <c:v>22643</c:v>
                </c:pt>
                <c:pt idx="12">
                  <c:v>22645</c:v>
                </c:pt>
                <c:pt idx="13">
                  <c:v>22651</c:v>
                </c:pt>
                <c:pt idx="14">
                  <c:v>23111.5</c:v>
                </c:pt>
                <c:pt idx="15">
                  <c:v>23142.5</c:v>
                </c:pt>
                <c:pt idx="16">
                  <c:v>23148.5</c:v>
                </c:pt>
                <c:pt idx="17">
                  <c:v>23806.5</c:v>
                </c:pt>
              </c:numCache>
            </c:numRef>
          </c:xVal>
          <c:yVal>
            <c:numRef>
              <c:f>'C'!$H$21:$H$994</c:f>
              <c:numCache>
                <c:formatCode>0.0000</c:formatCode>
                <c:ptCount val="974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AFE-4629-911E-6EFE1C81FA3C}"/>
            </c:ext>
          </c:extLst>
        </c:ser>
        <c:ser>
          <c:idx val="1"/>
          <c:order val="1"/>
          <c:tx>
            <c:strRef>
              <c:f>'C'!$I$20</c:f>
              <c:strCache>
                <c:ptCount val="1"/>
                <c:pt idx="0">
                  <c:v>ROTSE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'C'!$D$22:$D$45</c:f>
                <c:numCache>
                  <c:formatCode>General</c:formatCode>
                  <c:ptCount val="24"/>
                  <c:pt idx="0">
                    <c:v>1.5E-3</c:v>
                  </c:pt>
                  <c:pt idx="4">
                    <c:v>8.9999999999999998E-4</c:v>
                  </c:pt>
                  <c:pt idx="6">
                    <c:v>8.9999999999999998E-4</c:v>
                  </c:pt>
                  <c:pt idx="7">
                    <c:v>6.9999999999999999E-4</c:v>
                  </c:pt>
                  <c:pt idx="8">
                    <c:v>1E-3</c:v>
                  </c:pt>
                  <c:pt idx="9">
                    <c:v>8.0000000000000004E-4</c:v>
                  </c:pt>
                  <c:pt idx="10">
                    <c:v>2.0000000000000001E-4</c:v>
                  </c:pt>
                  <c:pt idx="11">
                    <c:v>4.0000000000000002E-4</c:v>
                  </c:pt>
                </c:numCache>
              </c:numRef>
            </c:plus>
            <c:minus>
              <c:numLit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2.2000000000000001E-3</c:v>
                </c:pt>
              </c:numLit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'C'!$F$21:$F$994</c:f>
              <c:numCache>
                <c:formatCode>General</c:formatCode>
                <c:ptCount val="974"/>
                <c:pt idx="0">
                  <c:v>0</c:v>
                </c:pt>
                <c:pt idx="1">
                  <c:v>18599</c:v>
                </c:pt>
                <c:pt idx="2">
                  <c:v>18661.5</c:v>
                </c:pt>
                <c:pt idx="3">
                  <c:v>18662.5</c:v>
                </c:pt>
                <c:pt idx="4">
                  <c:v>18663</c:v>
                </c:pt>
                <c:pt idx="5">
                  <c:v>18732.5</c:v>
                </c:pt>
                <c:pt idx="6">
                  <c:v>18810.5</c:v>
                </c:pt>
                <c:pt idx="7">
                  <c:v>20964</c:v>
                </c:pt>
                <c:pt idx="8">
                  <c:v>22341</c:v>
                </c:pt>
                <c:pt idx="9">
                  <c:v>22346</c:v>
                </c:pt>
                <c:pt idx="10">
                  <c:v>22358.5</c:v>
                </c:pt>
                <c:pt idx="11">
                  <c:v>22643</c:v>
                </c:pt>
                <c:pt idx="12">
                  <c:v>22645</c:v>
                </c:pt>
                <c:pt idx="13">
                  <c:v>22651</c:v>
                </c:pt>
                <c:pt idx="14">
                  <c:v>23111.5</c:v>
                </c:pt>
                <c:pt idx="15">
                  <c:v>23142.5</c:v>
                </c:pt>
                <c:pt idx="16">
                  <c:v>23148.5</c:v>
                </c:pt>
                <c:pt idx="17">
                  <c:v>23806.5</c:v>
                </c:pt>
              </c:numCache>
            </c:numRef>
          </c:xVal>
          <c:yVal>
            <c:numRef>
              <c:f>'C'!$I$21:$I$994</c:f>
              <c:numCache>
                <c:formatCode>0.0000</c:formatCode>
                <c:ptCount val="974"/>
                <c:pt idx="2">
                  <c:v>-0.10020150000491412</c:v>
                </c:pt>
                <c:pt idx="3">
                  <c:v>-5.8162499997706618E-2</c:v>
                </c:pt>
                <c:pt idx="4">
                  <c:v>-9.4943000003695488E-2</c:v>
                </c:pt>
                <c:pt idx="6">
                  <c:v>-7.7390500002366025E-2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AFE-4629-911E-6EFE1C81FA3C}"/>
            </c:ext>
          </c:extLst>
        </c:ser>
        <c:ser>
          <c:idx val="3"/>
          <c:order val="2"/>
          <c:tx>
            <c:strRef>
              <c:f>'C'!$J$20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'C'!$D$21:$D$45</c:f>
                <c:numCache>
                  <c:formatCode>General</c:formatCode>
                  <c:ptCount val="25"/>
                  <c:pt idx="0">
                    <c:v>0</c:v>
                  </c:pt>
                  <c:pt idx="1">
                    <c:v>1.5E-3</c:v>
                  </c:pt>
                  <c:pt idx="5">
                    <c:v>8.9999999999999998E-4</c:v>
                  </c:pt>
                  <c:pt idx="7">
                    <c:v>8.9999999999999998E-4</c:v>
                  </c:pt>
                  <c:pt idx="8">
                    <c:v>6.9999999999999999E-4</c:v>
                  </c:pt>
                  <c:pt idx="9">
                    <c:v>1E-3</c:v>
                  </c:pt>
                  <c:pt idx="10">
                    <c:v>8.0000000000000004E-4</c:v>
                  </c:pt>
                  <c:pt idx="11">
                    <c:v>2.0000000000000001E-4</c:v>
                  </c:pt>
                  <c:pt idx="12">
                    <c:v>4.0000000000000002E-4</c:v>
                  </c:pt>
                </c:numCache>
              </c:numRef>
            </c:plus>
            <c:minus>
              <c:numRef>
                <c:f>'C'!$D$21:$D$45</c:f>
                <c:numCache>
                  <c:formatCode>General</c:formatCode>
                  <c:ptCount val="25"/>
                  <c:pt idx="0">
                    <c:v>0</c:v>
                  </c:pt>
                  <c:pt idx="1">
                    <c:v>1.5E-3</c:v>
                  </c:pt>
                  <c:pt idx="5">
                    <c:v>8.9999999999999998E-4</c:v>
                  </c:pt>
                  <c:pt idx="7">
                    <c:v>8.9999999999999998E-4</c:v>
                  </c:pt>
                  <c:pt idx="8">
                    <c:v>6.9999999999999999E-4</c:v>
                  </c:pt>
                  <c:pt idx="9">
                    <c:v>1E-3</c:v>
                  </c:pt>
                  <c:pt idx="10">
                    <c:v>8.0000000000000004E-4</c:v>
                  </c:pt>
                  <c:pt idx="11">
                    <c:v>2.0000000000000001E-4</c:v>
                  </c:pt>
                  <c:pt idx="12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'C'!$F$21:$F$994</c:f>
              <c:numCache>
                <c:formatCode>General</c:formatCode>
                <c:ptCount val="974"/>
                <c:pt idx="0">
                  <c:v>0</c:v>
                </c:pt>
                <c:pt idx="1">
                  <c:v>18599</c:v>
                </c:pt>
                <c:pt idx="2">
                  <c:v>18661.5</c:v>
                </c:pt>
                <c:pt idx="3">
                  <c:v>18662.5</c:v>
                </c:pt>
                <c:pt idx="4">
                  <c:v>18663</c:v>
                </c:pt>
                <c:pt idx="5">
                  <c:v>18732.5</c:v>
                </c:pt>
                <c:pt idx="6">
                  <c:v>18810.5</c:v>
                </c:pt>
                <c:pt idx="7">
                  <c:v>20964</c:v>
                </c:pt>
                <c:pt idx="8">
                  <c:v>22341</c:v>
                </c:pt>
                <c:pt idx="9">
                  <c:v>22346</c:v>
                </c:pt>
                <c:pt idx="10">
                  <c:v>22358.5</c:v>
                </c:pt>
                <c:pt idx="11">
                  <c:v>22643</c:v>
                </c:pt>
                <c:pt idx="12">
                  <c:v>22645</c:v>
                </c:pt>
                <c:pt idx="13">
                  <c:v>22651</c:v>
                </c:pt>
                <c:pt idx="14">
                  <c:v>23111.5</c:v>
                </c:pt>
                <c:pt idx="15">
                  <c:v>23142.5</c:v>
                </c:pt>
                <c:pt idx="16">
                  <c:v>23148.5</c:v>
                </c:pt>
                <c:pt idx="17">
                  <c:v>23806.5</c:v>
                </c:pt>
              </c:numCache>
            </c:numRef>
          </c:xVal>
          <c:yVal>
            <c:numRef>
              <c:f>'C'!$J$21:$J$994</c:f>
              <c:numCache>
                <c:formatCode>0.0000</c:formatCode>
                <c:ptCount val="974"/>
                <c:pt idx="1">
                  <c:v>-7.8138999997463543E-2</c:v>
                </c:pt>
                <c:pt idx="5">
                  <c:v>-9.3032500000845175E-2</c:v>
                </c:pt>
                <c:pt idx="8">
                  <c:v>-6.8701000003784429E-2</c:v>
                </c:pt>
                <c:pt idx="9">
                  <c:v>-1.0606000003463123E-2</c:v>
                </c:pt>
                <c:pt idx="14">
                  <c:v>-0.2434514999986277</c:v>
                </c:pt>
                <c:pt idx="15">
                  <c:v>-0.17904249999992317</c:v>
                </c:pt>
                <c:pt idx="16">
                  <c:v>-0.19130849999783095</c:v>
                </c:pt>
                <c:pt idx="17">
                  <c:v>-0.19114649999391986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AFE-4629-911E-6EFE1C81FA3C}"/>
            </c:ext>
          </c:extLst>
        </c:ser>
        <c:ser>
          <c:idx val="4"/>
          <c:order val="3"/>
          <c:tx>
            <c:strRef>
              <c:f>'C'!$K$20</c:f>
              <c:strCache>
                <c:ptCount val="1"/>
                <c:pt idx="0">
                  <c:v>Krajci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'C'!$F$21:$F$994</c:f>
              <c:numCache>
                <c:formatCode>General</c:formatCode>
                <c:ptCount val="974"/>
                <c:pt idx="0">
                  <c:v>0</c:v>
                </c:pt>
                <c:pt idx="1">
                  <c:v>18599</c:v>
                </c:pt>
                <c:pt idx="2">
                  <c:v>18661.5</c:v>
                </c:pt>
                <c:pt idx="3">
                  <c:v>18662.5</c:v>
                </c:pt>
                <c:pt idx="4">
                  <c:v>18663</c:v>
                </c:pt>
                <c:pt idx="5">
                  <c:v>18732.5</c:v>
                </c:pt>
                <c:pt idx="6">
                  <c:v>18810.5</c:v>
                </c:pt>
                <c:pt idx="7">
                  <c:v>20964</c:v>
                </c:pt>
                <c:pt idx="8">
                  <c:v>22341</c:v>
                </c:pt>
                <c:pt idx="9">
                  <c:v>22346</c:v>
                </c:pt>
                <c:pt idx="10">
                  <c:v>22358.5</c:v>
                </c:pt>
                <c:pt idx="11">
                  <c:v>22643</c:v>
                </c:pt>
                <c:pt idx="12">
                  <c:v>22645</c:v>
                </c:pt>
                <c:pt idx="13">
                  <c:v>22651</c:v>
                </c:pt>
                <c:pt idx="14">
                  <c:v>23111.5</c:v>
                </c:pt>
                <c:pt idx="15">
                  <c:v>23142.5</c:v>
                </c:pt>
                <c:pt idx="16">
                  <c:v>23148.5</c:v>
                </c:pt>
                <c:pt idx="17">
                  <c:v>23806.5</c:v>
                </c:pt>
              </c:numCache>
            </c:numRef>
          </c:xVal>
          <c:yVal>
            <c:numRef>
              <c:f>'C'!$K$21:$K$994</c:f>
              <c:numCache>
                <c:formatCode>0.0000</c:formatCode>
                <c:ptCount val="974"/>
                <c:pt idx="10">
                  <c:v>-0.28951850000157719</c:v>
                </c:pt>
                <c:pt idx="11">
                  <c:v>-0.31892300000617979</c:v>
                </c:pt>
                <c:pt idx="12">
                  <c:v>-0.25784500000008848</c:v>
                </c:pt>
                <c:pt idx="13">
                  <c:v>-0.27051100000244332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AFE-4629-911E-6EFE1C81FA3C}"/>
            </c:ext>
          </c:extLst>
        </c:ser>
        <c:ser>
          <c:idx val="2"/>
          <c:order val="4"/>
          <c:tx>
            <c:strRef>
              <c:f>'C'!$L$20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'C'!$F$21:$F$994</c:f>
              <c:numCache>
                <c:formatCode>General</c:formatCode>
                <c:ptCount val="974"/>
                <c:pt idx="0">
                  <c:v>0</c:v>
                </c:pt>
                <c:pt idx="1">
                  <c:v>18599</c:v>
                </c:pt>
                <c:pt idx="2">
                  <c:v>18661.5</c:v>
                </c:pt>
                <c:pt idx="3">
                  <c:v>18662.5</c:v>
                </c:pt>
                <c:pt idx="4">
                  <c:v>18663</c:v>
                </c:pt>
                <c:pt idx="5">
                  <c:v>18732.5</c:v>
                </c:pt>
                <c:pt idx="6">
                  <c:v>18810.5</c:v>
                </c:pt>
                <c:pt idx="7">
                  <c:v>20964</c:v>
                </c:pt>
                <c:pt idx="8">
                  <c:v>22341</c:v>
                </c:pt>
                <c:pt idx="9">
                  <c:v>22346</c:v>
                </c:pt>
                <c:pt idx="10">
                  <c:v>22358.5</c:v>
                </c:pt>
                <c:pt idx="11">
                  <c:v>22643</c:v>
                </c:pt>
                <c:pt idx="12">
                  <c:v>22645</c:v>
                </c:pt>
                <c:pt idx="13">
                  <c:v>22651</c:v>
                </c:pt>
                <c:pt idx="14">
                  <c:v>23111.5</c:v>
                </c:pt>
                <c:pt idx="15">
                  <c:v>23142.5</c:v>
                </c:pt>
                <c:pt idx="16">
                  <c:v>23148.5</c:v>
                </c:pt>
                <c:pt idx="17">
                  <c:v>23806.5</c:v>
                </c:pt>
              </c:numCache>
            </c:numRef>
          </c:xVal>
          <c:yVal>
            <c:numRef>
              <c:f>'C'!$L$21:$L$994</c:f>
              <c:numCache>
                <c:formatCode>0.0000</c:formatCode>
                <c:ptCount val="97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AFE-4629-911E-6EFE1C81FA3C}"/>
            </c:ext>
          </c:extLst>
        </c:ser>
        <c:ser>
          <c:idx val="5"/>
          <c:order val="5"/>
          <c:tx>
            <c:strRef>
              <c:f>'C'!$M$20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'C'!$F$21:$F$994</c:f>
              <c:numCache>
                <c:formatCode>General</c:formatCode>
                <c:ptCount val="974"/>
                <c:pt idx="0">
                  <c:v>0</c:v>
                </c:pt>
                <c:pt idx="1">
                  <c:v>18599</c:v>
                </c:pt>
                <c:pt idx="2">
                  <c:v>18661.5</c:v>
                </c:pt>
                <c:pt idx="3">
                  <c:v>18662.5</c:v>
                </c:pt>
                <c:pt idx="4">
                  <c:v>18663</c:v>
                </c:pt>
                <c:pt idx="5">
                  <c:v>18732.5</c:v>
                </c:pt>
                <c:pt idx="6">
                  <c:v>18810.5</c:v>
                </c:pt>
                <c:pt idx="7">
                  <c:v>20964</c:v>
                </c:pt>
                <c:pt idx="8">
                  <c:v>22341</c:v>
                </c:pt>
                <c:pt idx="9">
                  <c:v>22346</c:v>
                </c:pt>
                <c:pt idx="10">
                  <c:v>22358.5</c:v>
                </c:pt>
                <c:pt idx="11">
                  <c:v>22643</c:v>
                </c:pt>
                <c:pt idx="12">
                  <c:v>22645</c:v>
                </c:pt>
                <c:pt idx="13">
                  <c:v>22651</c:v>
                </c:pt>
                <c:pt idx="14">
                  <c:v>23111.5</c:v>
                </c:pt>
                <c:pt idx="15">
                  <c:v>23142.5</c:v>
                </c:pt>
                <c:pt idx="16">
                  <c:v>23148.5</c:v>
                </c:pt>
                <c:pt idx="17">
                  <c:v>23806.5</c:v>
                </c:pt>
              </c:numCache>
            </c:numRef>
          </c:xVal>
          <c:yVal>
            <c:numRef>
              <c:f>'C'!$M$21:$M$994</c:f>
              <c:numCache>
                <c:formatCode>0.0000</c:formatCode>
                <c:ptCount val="974"/>
                <c:pt idx="7">
                  <c:v>-5.8204000000841916E-2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BAFE-4629-911E-6EFE1C81FA3C}"/>
            </c:ext>
          </c:extLst>
        </c:ser>
        <c:ser>
          <c:idx val="6"/>
          <c:order val="6"/>
          <c:tx>
            <c:strRef>
              <c:f>'C'!$N$20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'C'!$F$21:$F$994</c:f>
              <c:numCache>
                <c:formatCode>General</c:formatCode>
                <c:ptCount val="974"/>
                <c:pt idx="0">
                  <c:v>0</c:v>
                </c:pt>
                <c:pt idx="1">
                  <c:v>18599</c:v>
                </c:pt>
                <c:pt idx="2">
                  <c:v>18661.5</c:v>
                </c:pt>
                <c:pt idx="3">
                  <c:v>18662.5</c:v>
                </c:pt>
                <c:pt idx="4">
                  <c:v>18663</c:v>
                </c:pt>
                <c:pt idx="5">
                  <c:v>18732.5</c:v>
                </c:pt>
                <c:pt idx="6">
                  <c:v>18810.5</c:v>
                </c:pt>
                <c:pt idx="7">
                  <c:v>20964</c:v>
                </c:pt>
                <c:pt idx="8">
                  <c:v>22341</c:v>
                </c:pt>
                <c:pt idx="9">
                  <c:v>22346</c:v>
                </c:pt>
                <c:pt idx="10">
                  <c:v>22358.5</c:v>
                </c:pt>
                <c:pt idx="11">
                  <c:v>22643</c:v>
                </c:pt>
                <c:pt idx="12">
                  <c:v>22645</c:v>
                </c:pt>
                <c:pt idx="13">
                  <c:v>22651</c:v>
                </c:pt>
                <c:pt idx="14">
                  <c:v>23111.5</c:v>
                </c:pt>
                <c:pt idx="15">
                  <c:v>23142.5</c:v>
                </c:pt>
                <c:pt idx="16">
                  <c:v>23148.5</c:v>
                </c:pt>
                <c:pt idx="17">
                  <c:v>23806.5</c:v>
                </c:pt>
              </c:numCache>
            </c:numRef>
          </c:xVal>
          <c:yVal>
            <c:numRef>
              <c:f>'C'!$N$21:$N$994</c:f>
              <c:numCache>
                <c:formatCode>0.0000</c:formatCode>
                <c:ptCount val="974"/>
                <c:pt idx="1">
                  <c:v>-7.4553913525999882E-2</c:v>
                </c:pt>
                <c:pt idx="2">
                  <c:v>-7.6374323763112428E-2</c:v>
                </c:pt>
                <c:pt idx="3">
                  <c:v>-7.6403450326906153E-2</c:v>
                </c:pt>
                <c:pt idx="4">
                  <c:v>-7.6418013608803126E-2</c:v>
                </c:pt>
                <c:pt idx="5">
                  <c:v>-7.8442309792472187E-2</c:v>
                </c:pt>
                <c:pt idx="6">
                  <c:v>-8.0714181768388682E-2</c:v>
                </c:pt>
                <c:pt idx="7">
                  <c:v>-0.14343823689833773</c:v>
                </c:pt>
                <c:pt idx="8">
                  <c:v>-0.18354551524240076</c:v>
                </c:pt>
                <c:pt idx="9">
                  <c:v>-0.18369114806136982</c:v>
                </c:pt>
                <c:pt idx="10">
                  <c:v>-0.18405523010879227</c:v>
                </c:pt>
                <c:pt idx="11">
                  <c:v>-0.1923417375081285</c:v>
                </c:pt>
                <c:pt idx="12">
                  <c:v>-0.19239999063571606</c:v>
                </c:pt>
                <c:pt idx="13">
                  <c:v>-0.19257475001847896</c:v>
                </c:pt>
                <c:pt idx="14">
                  <c:v>-0.205987532645524</c:v>
                </c:pt>
                <c:pt idx="15">
                  <c:v>-0.20689045612313178</c:v>
                </c:pt>
                <c:pt idx="16">
                  <c:v>-0.20706521550589457</c:v>
                </c:pt>
                <c:pt idx="17">
                  <c:v>-0.22623049448221516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BAFE-4629-911E-6EFE1C81FA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06827936"/>
        <c:axId val="1"/>
      </c:scatterChart>
      <c:valAx>
        <c:axId val="706827936"/>
        <c:scaling>
          <c:orientation val="minMax"/>
        </c:scaling>
        <c:delete val="0"/>
        <c:axPos val="b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minorGridlines>
          <c:spPr>
            <a:ln w="3175">
              <a:solidFill>
                <a:srgbClr val="80808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936656685519944"/>
              <c:y val="0.8726114649681528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  <c:majorUnit val="2000"/>
        <c:minorUnit val="2000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2.464788732394366E-2"/>
              <c:y val="0.35350318471337577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0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0682793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16725370596281097"/>
          <c:y val="0.92675159235668791"/>
          <c:w val="0.93309951572954786"/>
          <c:h val="0.99044585987261147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V731 Her - O-C Diagr.</a:t>
            </a:r>
          </a:p>
        </c:rich>
      </c:tx>
      <c:layout>
        <c:manualLayout>
          <c:xMode val="edge"/>
          <c:yMode val="edge"/>
          <c:x val="0.37366003062787134"/>
          <c:y val="1.582278481012658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719754977029096"/>
          <c:y val="8.860773185282933E-2"/>
          <c:w val="0.86064318529862172"/>
          <c:h val="0.72468466408206844"/>
        </c:manualLayout>
      </c:layout>
      <c:scatterChart>
        <c:scatterStyle val="lineMarker"/>
        <c:varyColors val="0"/>
        <c:ser>
          <c:idx val="0"/>
          <c:order val="0"/>
          <c:tx>
            <c:strRef>
              <c:f>D!$H$20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D!$F$21:$F$994</c:f>
              <c:numCache>
                <c:formatCode>General</c:formatCode>
                <c:ptCount val="974"/>
                <c:pt idx="0">
                  <c:v>0</c:v>
                </c:pt>
                <c:pt idx="1">
                  <c:v>21807</c:v>
                </c:pt>
                <c:pt idx="2">
                  <c:v>21880.5</c:v>
                </c:pt>
                <c:pt idx="3">
                  <c:v>21881.5</c:v>
                </c:pt>
                <c:pt idx="4">
                  <c:v>21882</c:v>
                </c:pt>
                <c:pt idx="5">
                  <c:v>21963.5</c:v>
                </c:pt>
                <c:pt idx="6">
                  <c:v>22055</c:v>
                </c:pt>
                <c:pt idx="7">
                  <c:v>24580</c:v>
                </c:pt>
                <c:pt idx="8">
                  <c:v>26194.5</c:v>
                </c:pt>
                <c:pt idx="9">
                  <c:v>26200.5</c:v>
                </c:pt>
                <c:pt idx="10">
                  <c:v>26214.5</c:v>
                </c:pt>
                <c:pt idx="11">
                  <c:v>26548</c:v>
                </c:pt>
                <c:pt idx="12">
                  <c:v>26550.5</c:v>
                </c:pt>
                <c:pt idx="13">
                  <c:v>26557.5</c:v>
                </c:pt>
                <c:pt idx="14">
                  <c:v>27097.5</c:v>
                </c:pt>
                <c:pt idx="15">
                  <c:v>27134</c:v>
                </c:pt>
                <c:pt idx="16">
                  <c:v>27141</c:v>
                </c:pt>
                <c:pt idx="17">
                  <c:v>27912.5</c:v>
                </c:pt>
              </c:numCache>
            </c:numRef>
          </c:xVal>
          <c:yVal>
            <c:numRef>
              <c:f>D!$H$21:$H$994</c:f>
              <c:numCache>
                <c:formatCode>0.0000</c:formatCode>
                <c:ptCount val="974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C0B-4442-8034-CBC8A3A2CFE6}"/>
            </c:ext>
          </c:extLst>
        </c:ser>
        <c:ser>
          <c:idx val="1"/>
          <c:order val="1"/>
          <c:tx>
            <c:strRef>
              <c:f>D!$I$20</c:f>
              <c:strCache>
                <c:ptCount val="1"/>
                <c:pt idx="0">
                  <c:v>ROTSE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D!$D$22:$D$45</c:f>
                <c:numCache>
                  <c:formatCode>General</c:formatCode>
                  <c:ptCount val="24"/>
                  <c:pt idx="0">
                    <c:v>1.5E-3</c:v>
                  </c:pt>
                  <c:pt idx="4">
                    <c:v>8.9999999999999998E-4</c:v>
                  </c:pt>
                  <c:pt idx="6">
                    <c:v>8.9999999999999998E-4</c:v>
                  </c:pt>
                  <c:pt idx="7">
                    <c:v>6.9999999999999999E-4</c:v>
                  </c:pt>
                  <c:pt idx="8">
                    <c:v>1E-3</c:v>
                  </c:pt>
                  <c:pt idx="9">
                    <c:v>8.0000000000000004E-4</c:v>
                  </c:pt>
                  <c:pt idx="10">
                    <c:v>2.0000000000000001E-4</c:v>
                  </c:pt>
                  <c:pt idx="11">
                    <c:v>4.0000000000000002E-4</c:v>
                  </c:pt>
                </c:numCache>
              </c:numRef>
            </c:plus>
            <c:minus>
              <c:numLit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2.2000000000000001E-3</c:v>
                </c:pt>
              </c:numLit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D!$F$21:$F$994</c:f>
              <c:numCache>
                <c:formatCode>General</c:formatCode>
                <c:ptCount val="974"/>
                <c:pt idx="0">
                  <c:v>0</c:v>
                </c:pt>
                <c:pt idx="1">
                  <c:v>21807</c:v>
                </c:pt>
                <c:pt idx="2">
                  <c:v>21880.5</c:v>
                </c:pt>
                <c:pt idx="3">
                  <c:v>21881.5</c:v>
                </c:pt>
                <c:pt idx="4">
                  <c:v>21882</c:v>
                </c:pt>
                <c:pt idx="5">
                  <c:v>21963.5</c:v>
                </c:pt>
                <c:pt idx="6">
                  <c:v>22055</c:v>
                </c:pt>
                <c:pt idx="7">
                  <c:v>24580</c:v>
                </c:pt>
                <c:pt idx="8">
                  <c:v>26194.5</c:v>
                </c:pt>
                <c:pt idx="9">
                  <c:v>26200.5</c:v>
                </c:pt>
                <c:pt idx="10">
                  <c:v>26214.5</c:v>
                </c:pt>
                <c:pt idx="11">
                  <c:v>26548</c:v>
                </c:pt>
                <c:pt idx="12">
                  <c:v>26550.5</c:v>
                </c:pt>
                <c:pt idx="13">
                  <c:v>26557.5</c:v>
                </c:pt>
                <c:pt idx="14">
                  <c:v>27097.5</c:v>
                </c:pt>
                <c:pt idx="15">
                  <c:v>27134</c:v>
                </c:pt>
                <c:pt idx="16">
                  <c:v>27141</c:v>
                </c:pt>
                <c:pt idx="17">
                  <c:v>27912.5</c:v>
                </c:pt>
              </c:numCache>
            </c:numRef>
          </c:xVal>
          <c:yVal>
            <c:numRef>
              <c:f>D!$I$21:$I$994</c:f>
              <c:numCache>
                <c:formatCode>0.0000</c:formatCode>
                <c:ptCount val="974"/>
                <c:pt idx="2">
                  <c:v>-9.8244000000704546E-2</c:v>
                </c:pt>
                <c:pt idx="3">
                  <c:v>1.7348000001220498E-2</c:v>
                </c:pt>
                <c:pt idx="4">
                  <c:v>1.7343999999866355E-2</c:v>
                </c:pt>
                <c:pt idx="6">
                  <c:v>1.0559999995166436E-2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C0B-4442-8034-CBC8A3A2CFE6}"/>
            </c:ext>
          </c:extLst>
        </c:ser>
        <c:ser>
          <c:idx val="3"/>
          <c:order val="2"/>
          <c:tx>
            <c:strRef>
              <c:f>D!$J$20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D!$D$21:$D$45</c:f>
                <c:numCache>
                  <c:formatCode>General</c:formatCode>
                  <c:ptCount val="25"/>
                  <c:pt idx="0">
                    <c:v>0</c:v>
                  </c:pt>
                  <c:pt idx="1">
                    <c:v>1.5E-3</c:v>
                  </c:pt>
                  <c:pt idx="5">
                    <c:v>8.9999999999999998E-4</c:v>
                  </c:pt>
                  <c:pt idx="7">
                    <c:v>8.9999999999999998E-4</c:v>
                  </c:pt>
                  <c:pt idx="8">
                    <c:v>6.9999999999999999E-4</c:v>
                  </c:pt>
                  <c:pt idx="9">
                    <c:v>1E-3</c:v>
                  </c:pt>
                  <c:pt idx="10">
                    <c:v>8.0000000000000004E-4</c:v>
                  </c:pt>
                  <c:pt idx="11">
                    <c:v>2.0000000000000001E-4</c:v>
                  </c:pt>
                  <c:pt idx="12">
                    <c:v>4.0000000000000002E-4</c:v>
                  </c:pt>
                </c:numCache>
              </c:numRef>
            </c:plus>
            <c:minus>
              <c:numRef>
                <c:f>D!$D$21:$D$45</c:f>
                <c:numCache>
                  <c:formatCode>General</c:formatCode>
                  <c:ptCount val="25"/>
                  <c:pt idx="0">
                    <c:v>0</c:v>
                  </c:pt>
                  <c:pt idx="1">
                    <c:v>1.5E-3</c:v>
                  </c:pt>
                  <c:pt idx="5">
                    <c:v>8.9999999999999998E-4</c:v>
                  </c:pt>
                  <c:pt idx="7">
                    <c:v>8.9999999999999998E-4</c:v>
                  </c:pt>
                  <c:pt idx="8">
                    <c:v>6.9999999999999999E-4</c:v>
                  </c:pt>
                  <c:pt idx="9">
                    <c:v>1E-3</c:v>
                  </c:pt>
                  <c:pt idx="10">
                    <c:v>8.0000000000000004E-4</c:v>
                  </c:pt>
                  <c:pt idx="11">
                    <c:v>2.0000000000000001E-4</c:v>
                  </c:pt>
                  <c:pt idx="12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D!$F$21:$F$994</c:f>
              <c:numCache>
                <c:formatCode>General</c:formatCode>
                <c:ptCount val="974"/>
                <c:pt idx="0">
                  <c:v>0</c:v>
                </c:pt>
                <c:pt idx="1">
                  <c:v>21807</c:v>
                </c:pt>
                <c:pt idx="2">
                  <c:v>21880.5</c:v>
                </c:pt>
                <c:pt idx="3">
                  <c:v>21881.5</c:v>
                </c:pt>
                <c:pt idx="4">
                  <c:v>21882</c:v>
                </c:pt>
                <c:pt idx="5">
                  <c:v>21963.5</c:v>
                </c:pt>
                <c:pt idx="6">
                  <c:v>22055</c:v>
                </c:pt>
                <c:pt idx="7">
                  <c:v>24580</c:v>
                </c:pt>
                <c:pt idx="8">
                  <c:v>26194.5</c:v>
                </c:pt>
                <c:pt idx="9">
                  <c:v>26200.5</c:v>
                </c:pt>
                <c:pt idx="10">
                  <c:v>26214.5</c:v>
                </c:pt>
                <c:pt idx="11">
                  <c:v>26548</c:v>
                </c:pt>
                <c:pt idx="12">
                  <c:v>26550.5</c:v>
                </c:pt>
                <c:pt idx="13">
                  <c:v>26557.5</c:v>
                </c:pt>
                <c:pt idx="14">
                  <c:v>27097.5</c:v>
                </c:pt>
                <c:pt idx="15">
                  <c:v>27134</c:v>
                </c:pt>
                <c:pt idx="16">
                  <c:v>27141</c:v>
                </c:pt>
                <c:pt idx="17">
                  <c:v>27912.5</c:v>
                </c:pt>
              </c:numCache>
            </c:numRef>
          </c:xVal>
          <c:yVal>
            <c:numRef>
              <c:f>D!$J$21:$J$994</c:f>
              <c:numCache>
                <c:formatCode>0.0000</c:formatCode>
                <c:ptCount val="974"/>
                <c:pt idx="1">
                  <c:v>1.724399999511661E-2</c:v>
                </c:pt>
                <c:pt idx="5">
                  <c:v>1.4291999992565252E-2</c:v>
                </c:pt>
                <c:pt idx="8">
                  <c:v>1.5643999999156222E-2</c:v>
                </c:pt>
                <c:pt idx="9">
                  <c:v>1.5095999995537568E-2</c:v>
                </c:pt>
                <c:pt idx="14">
                  <c:v>1.4419999999518041E-2</c:v>
                </c:pt>
                <c:pt idx="15">
                  <c:v>1.3727999998081941E-2</c:v>
                </c:pt>
                <c:pt idx="16">
                  <c:v>1.6371999998227693E-2</c:v>
                </c:pt>
                <c:pt idx="17">
                  <c:v>1.7100000004575122E-2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C0B-4442-8034-CBC8A3A2CFE6}"/>
            </c:ext>
          </c:extLst>
        </c:ser>
        <c:ser>
          <c:idx val="4"/>
          <c:order val="3"/>
          <c:tx>
            <c:strRef>
              <c:f>D!$K$20</c:f>
              <c:strCache>
                <c:ptCount val="1"/>
                <c:pt idx="0">
                  <c:v>Krajci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D!$F$21:$F$994</c:f>
              <c:numCache>
                <c:formatCode>General</c:formatCode>
                <c:ptCount val="974"/>
                <c:pt idx="0">
                  <c:v>0</c:v>
                </c:pt>
                <c:pt idx="1">
                  <c:v>21807</c:v>
                </c:pt>
                <c:pt idx="2">
                  <c:v>21880.5</c:v>
                </c:pt>
                <c:pt idx="3">
                  <c:v>21881.5</c:v>
                </c:pt>
                <c:pt idx="4">
                  <c:v>21882</c:v>
                </c:pt>
                <c:pt idx="5">
                  <c:v>21963.5</c:v>
                </c:pt>
                <c:pt idx="6">
                  <c:v>22055</c:v>
                </c:pt>
                <c:pt idx="7">
                  <c:v>24580</c:v>
                </c:pt>
                <c:pt idx="8">
                  <c:v>26194.5</c:v>
                </c:pt>
                <c:pt idx="9">
                  <c:v>26200.5</c:v>
                </c:pt>
                <c:pt idx="10">
                  <c:v>26214.5</c:v>
                </c:pt>
                <c:pt idx="11">
                  <c:v>26548</c:v>
                </c:pt>
                <c:pt idx="12">
                  <c:v>26550.5</c:v>
                </c:pt>
                <c:pt idx="13">
                  <c:v>26557.5</c:v>
                </c:pt>
                <c:pt idx="14">
                  <c:v>27097.5</c:v>
                </c:pt>
                <c:pt idx="15">
                  <c:v>27134</c:v>
                </c:pt>
                <c:pt idx="16">
                  <c:v>27141</c:v>
                </c:pt>
                <c:pt idx="17">
                  <c:v>27912.5</c:v>
                </c:pt>
              </c:numCache>
            </c:numRef>
          </c:xVal>
          <c:yVal>
            <c:numRef>
              <c:f>D!$K$21:$K$994</c:f>
              <c:numCache>
                <c:formatCode>0.0000</c:formatCode>
                <c:ptCount val="974"/>
                <c:pt idx="10">
                  <c:v>1.5983999997843057E-2</c:v>
                </c:pt>
                <c:pt idx="11">
                  <c:v>1.8415999991702847E-2</c:v>
                </c:pt>
                <c:pt idx="12">
                  <c:v>1.3395999994827434E-2</c:v>
                </c:pt>
                <c:pt idx="13">
                  <c:v>1.5639999997802079E-2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C0B-4442-8034-CBC8A3A2CFE6}"/>
            </c:ext>
          </c:extLst>
        </c:ser>
        <c:ser>
          <c:idx val="2"/>
          <c:order val="4"/>
          <c:tx>
            <c:strRef>
              <c:f>D!$L$20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D!$F$21:$F$994</c:f>
              <c:numCache>
                <c:formatCode>General</c:formatCode>
                <c:ptCount val="974"/>
                <c:pt idx="0">
                  <c:v>0</c:v>
                </c:pt>
                <c:pt idx="1">
                  <c:v>21807</c:v>
                </c:pt>
                <c:pt idx="2">
                  <c:v>21880.5</c:v>
                </c:pt>
                <c:pt idx="3">
                  <c:v>21881.5</c:v>
                </c:pt>
                <c:pt idx="4">
                  <c:v>21882</c:v>
                </c:pt>
                <c:pt idx="5">
                  <c:v>21963.5</c:v>
                </c:pt>
                <c:pt idx="6">
                  <c:v>22055</c:v>
                </c:pt>
                <c:pt idx="7">
                  <c:v>24580</c:v>
                </c:pt>
                <c:pt idx="8">
                  <c:v>26194.5</c:v>
                </c:pt>
                <c:pt idx="9">
                  <c:v>26200.5</c:v>
                </c:pt>
                <c:pt idx="10">
                  <c:v>26214.5</c:v>
                </c:pt>
                <c:pt idx="11">
                  <c:v>26548</c:v>
                </c:pt>
                <c:pt idx="12">
                  <c:v>26550.5</c:v>
                </c:pt>
                <c:pt idx="13">
                  <c:v>26557.5</c:v>
                </c:pt>
                <c:pt idx="14">
                  <c:v>27097.5</c:v>
                </c:pt>
                <c:pt idx="15">
                  <c:v>27134</c:v>
                </c:pt>
                <c:pt idx="16">
                  <c:v>27141</c:v>
                </c:pt>
                <c:pt idx="17">
                  <c:v>27912.5</c:v>
                </c:pt>
              </c:numCache>
            </c:numRef>
          </c:xVal>
          <c:yVal>
            <c:numRef>
              <c:f>D!$L$21:$L$994</c:f>
              <c:numCache>
                <c:formatCode>0.0000</c:formatCode>
                <c:ptCount val="97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C0B-4442-8034-CBC8A3A2CFE6}"/>
            </c:ext>
          </c:extLst>
        </c:ser>
        <c:ser>
          <c:idx val="5"/>
          <c:order val="5"/>
          <c:tx>
            <c:strRef>
              <c:f>D!$M$20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D!$F$21:$F$994</c:f>
              <c:numCache>
                <c:formatCode>General</c:formatCode>
                <c:ptCount val="974"/>
                <c:pt idx="0">
                  <c:v>0</c:v>
                </c:pt>
                <c:pt idx="1">
                  <c:v>21807</c:v>
                </c:pt>
                <c:pt idx="2">
                  <c:v>21880.5</c:v>
                </c:pt>
                <c:pt idx="3">
                  <c:v>21881.5</c:v>
                </c:pt>
                <c:pt idx="4">
                  <c:v>21882</c:v>
                </c:pt>
                <c:pt idx="5">
                  <c:v>21963.5</c:v>
                </c:pt>
                <c:pt idx="6">
                  <c:v>22055</c:v>
                </c:pt>
                <c:pt idx="7">
                  <c:v>24580</c:v>
                </c:pt>
                <c:pt idx="8">
                  <c:v>26194.5</c:v>
                </c:pt>
                <c:pt idx="9">
                  <c:v>26200.5</c:v>
                </c:pt>
                <c:pt idx="10">
                  <c:v>26214.5</c:v>
                </c:pt>
                <c:pt idx="11">
                  <c:v>26548</c:v>
                </c:pt>
                <c:pt idx="12">
                  <c:v>26550.5</c:v>
                </c:pt>
                <c:pt idx="13">
                  <c:v>26557.5</c:v>
                </c:pt>
                <c:pt idx="14">
                  <c:v>27097.5</c:v>
                </c:pt>
                <c:pt idx="15">
                  <c:v>27134</c:v>
                </c:pt>
                <c:pt idx="16">
                  <c:v>27141</c:v>
                </c:pt>
                <c:pt idx="17">
                  <c:v>27912.5</c:v>
                </c:pt>
              </c:numCache>
            </c:numRef>
          </c:xVal>
          <c:yVal>
            <c:numRef>
              <c:f>D!$M$21:$M$994</c:f>
              <c:numCache>
                <c:formatCode>0.0000</c:formatCode>
                <c:ptCount val="974"/>
                <c:pt idx="7">
                  <c:v>1.5559999999823049E-2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C0B-4442-8034-CBC8A3A2CFE6}"/>
            </c:ext>
          </c:extLst>
        </c:ser>
        <c:ser>
          <c:idx val="6"/>
          <c:order val="6"/>
          <c:tx>
            <c:strRef>
              <c:f>D!$N$20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D!$F$21:$F$994</c:f>
              <c:numCache>
                <c:formatCode>General</c:formatCode>
                <c:ptCount val="974"/>
                <c:pt idx="0">
                  <c:v>0</c:v>
                </c:pt>
                <c:pt idx="1">
                  <c:v>21807</c:v>
                </c:pt>
                <c:pt idx="2">
                  <c:v>21880.5</c:v>
                </c:pt>
                <c:pt idx="3">
                  <c:v>21881.5</c:v>
                </c:pt>
                <c:pt idx="4">
                  <c:v>21882</c:v>
                </c:pt>
                <c:pt idx="5">
                  <c:v>21963.5</c:v>
                </c:pt>
                <c:pt idx="6">
                  <c:v>22055</c:v>
                </c:pt>
                <c:pt idx="7">
                  <c:v>24580</c:v>
                </c:pt>
                <c:pt idx="8">
                  <c:v>26194.5</c:v>
                </c:pt>
                <c:pt idx="9">
                  <c:v>26200.5</c:v>
                </c:pt>
                <c:pt idx="10">
                  <c:v>26214.5</c:v>
                </c:pt>
                <c:pt idx="11">
                  <c:v>26548</c:v>
                </c:pt>
                <c:pt idx="12">
                  <c:v>26550.5</c:v>
                </c:pt>
                <c:pt idx="13">
                  <c:v>26557.5</c:v>
                </c:pt>
                <c:pt idx="14">
                  <c:v>27097.5</c:v>
                </c:pt>
                <c:pt idx="15">
                  <c:v>27134</c:v>
                </c:pt>
                <c:pt idx="16">
                  <c:v>27141</c:v>
                </c:pt>
                <c:pt idx="17">
                  <c:v>27912.5</c:v>
                </c:pt>
              </c:numCache>
            </c:numRef>
          </c:xVal>
          <c:yVal>
            <c:numRef>
              <c:f>D!$N$21:$N$994</c:f>
              <c:numCache>
                <c:formatCode>0.0000</c:formatCode>
                <c:ptCount val="974"/>
                <c:pt idx="1">
                  <c:v>1.5373942528636763E-2</c:v>
                </c:pt>
                <c:pt idx="2">
                  <c:v>1.5376950199582346E-2</c:v>
                </c:pt>
                <c:pt idx="3">
                  <c:v>1.5376991120275484E-2</c:v>
                </c:pt>
                <c:pt idx="4">
                  <c:v>1.5377011580622052E-2</c:v>
                </c:pt>
                <c:pt idx="5">
                  <c:v>1.5380346617112732E-2</c:v>
                </c:pt>
                <c:pt idx="6">
                  <c:v>1.5384090860534785E-2</c:v>
                </c:pt>
                <c:pt idx="7">
                  <c:v>1.5487415610706181E-2</c:v>
                </c:pt>
                <c:pt idx="8">
                  <c:v>1.555348206977617E-2</c:v>
                </c:pt>
                <c:pt idx="9">
                  <c:v>1.5553727593934993E-2</c:v>
                </c:pt>
                <c:pt idx="10">
                  <c:v>1.5554300483638914E-2</c:v>
                </c:pt>
                <c:pt idx="11">
                  <c:v>1.5567947534800165E-2</c:v>
                </c:pt>
                <c:pt idx="12">
                  <c:v>1.5568049836533008E-2</c:v>
                </c:pt>
                <c:pt idx="13">
                  <c:v>1.5568336281384969E-2</c:v>
                </c:pt>
                <c:pt idx="14">
                  <c:v>1.5590433455679049E-2</c:v>
                </c:pt>
                <c:pt idx="15">
                  <c:v>1.5591927060978557E-2</c:v>
                </c:pt>
                <c:pt idx="16">
                  <c:v>1.5592213505830517E-2</c:v>
                </c:pt>
                <c:pt idx="17">
                  <c:v>1.5623783820585857E-2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3C0B-4442-8034-CBC8A3A2CF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06831536"/>
        <c:axId val="1"/>
      </c:scatterChart>
      <c:valAx>
        <c:axId val="706831536"/>
        <c:scaling>
          <c:orientation val="minMax"/>
        </c:scaling>
        <c:delete val="0"/>
        <c:axPos val="b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914241960183771"/>
              <c:y val="0.8734190504667929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2.1439509954058193E-2"/>
              <c:y val="0.35443104422073818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0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0683153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2113323124042879"/>
          <c:y val="0.92721651882122325"/>
          <c:w val="0.87748851454823895"/>
          <c:h val="0.99050765806172958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16</xdr:col>
      <xdr:colOff>514350</xdr:colOff>
      <xdr:row>17</xdr:row>
      <xdr:rowOff>104775</xdr:rowOff>
    </xdr:to>
    <xdr:graphicFrame macro="">
      <xdr:nvGraphicFramePr>
        <xdr:cNvPr id="58371" name="Chart 1">
          <a:extLst>
            <a:ext uri="{FF2B5EF4-FFF2-40B4-BE49-F238E27FC236}">
              <a16:creationId xmlns:a16="http://schemas.microsoft.com/office/drawing/2014/main" id="{9477FF5A-FBE6-D9FA-1CF4-94186F94CD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0</xdr:colOff>
      <xdr:row>0</xdr:row>
      <xdr:rowOff>0</xdr:rowOff>
    </xdr:from>
    <xdr:to>
      <xdr:col>25</xdr:col>
      <xdr:colOff>180975</xdr:colOff>
      <xdr:row>17</xdr:row>
      <xdr:rowOff>114300</xdr:rowOff>
    </xdr:to>
    <xdr:graphicFrame macro="">
      <xdr:nvGraphicFramePr>
        <xdr:cNvPr id="58372" name="Chart 2">
          <a:extLst>
            <a:ext uri="{FF2B5EF4-FFF2-40B4-BE49-F238E27FC236}">
              <a16:creationId xmlns:a16="http://schemas.microsoft.com/office/drawing/2014/main" id="{20F2C8E1-1039-C59F-6F2D-E67C1421A7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95250</xdr:colOff>
      <xdr:row>0</xdr:row>
      <xdr:rowOff>57150</xdr:rowOff>
    </xdr:from>
    <xdr:to>
      <xdr:col>16</xdr:col>
      <xdr:colOff>371475</xdr:colOff>
      <xdr:row>18</xdr:row>
      <xdr:rowOff>123825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41522B55-D663-7E98-A772-A8E186A077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57150</xdr:colOff>
      <xdr:row>0</xdr:row>
      <xdr:rowOff>0</xdr:rowOff>
    </xdr:from>
    <xdr:to>
      <xdr:col>15</xdr:col>
      <xdr:colOff>638175</xdr:colOff>
      <xdr:row>17</xdr:row>
      <xdr:rowOff>57150</xdr:rowOff>
    </xdr:to>
    <xdr:graphicFrame macro="">
      <xdr:nvGraphicFramePr>
        <xdr:cNvPr id="50178" name="Chart 1">
          <a:extLst>
            <a:ext uri="{FF2B5EF4-FFF2-40B4-BE49-F238E27FC236}">
              <a16:creationId xmlns:a16="http://schemas.microsoft.com/office/drawing/2014/main" id="{1C561EAB-F713-8A24-7EA6-C24B33168F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19050</xdr:colOff>
      <xdr:row>0</xdr:row>
      <xdr:rowOff>9525</xdr:rowOff>
    </xdr:from>
    <xdr:to>
      <xdr:col>13</xdr:col>
      <xdr:colOff>238125</xdr:colOff>
      <xdr:row>17</xdr:row>
      <xdr:rowOff>95250</xdr:rowOff>
    </xdr:to>
    <xdr:graphicFrame macro="">
      <xdr:nvGraphicFramePr>
        <xdr:cNvPr id="52226" name="Chart 1">
          <a:extLst>
            <a:ext uri="{FF2B5EF4-FFF2-40B4-BE49-F238E27FC236}">
              <a16:creationId xmlns:a16="http://schemas.microsoft.com/office/drawing/2014/main" id="{B0FE709C-353F-7B7D-EF96-FD17D34DF7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104775</xdr:colOff>
      <xdr:row>0</xdr:row>
      <xdr:rowOff>9525</xdr:rowOff>
    </xdr:from>
    <xdr:to>
      <xdr:col>16</xdr:col>
      <xdr:colOff>0</xdr:colOff>
      <xdr:row>17</xdr:row>
      <xdr:rowOff>114300</xdr:rowOff>
    </xdr:to>
    <xdr:graphicFrame macro="">
      <xdr:nvGraphicFramePr>
        <xdr:cNvPr id="56322" name="Chart 1">
          <a:extLst>
            <a:ext uri="{FF2B5EF4-FFF2-40B4-BE49-F238E27FC236}">
              <a16:creationId xmlns:a16="http://schemas.microsoft.com/office/drawing/2014/main" id="{985CF155-0EBD-53FE-5674-90AFD8DADA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://vsolj.cetus-net.org/bulletin.html" TargetMode="External"/><Relationship Id="rId1" Type="http://schemas.openxmlformats.org/officeDocument/2006/relationships/hyperlink" Target="http://vsolj.cetus-net.org/bulletin.html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v-astro.de/sfs/BAVM_link.php?BAVMnr=178" TargetMode="External"/><Relationship Id="rId13" Type="http://schemas.openxmlformats.org/officeDocument/2006/relationships/hyperlink" Target="http://www.konkoly.hu/cgi-bin/IBVS?5945" TargetMode="External"/><Relationship Id="rId18" Type="http://schemas.openxmlformats.org/officeDocument/2006/relationships/hyperlink" Target="http://www.konkoly.hu/cgi-bin/IBVS?6050" TargetMode="External"/><Relationship Id="rId3" Type="http://schemas.openxmlformats.org/officeDocument/2006/relationships/hyperlink" Target="http://www.konkoly.hu/cgi-bin/IBVS?5690" TargetMode="External"/><Relationship Id="rId7" Type="http://schemas.openxmlformats.org/officeDocument/2006/relationships/hyperlink" Target="http://www.bav-astro.de/sfs/BAVM_link.php?BAVMnr=178" TargetMode="External"/><Relationship Id="rId12" Type="http://schemas.openxmlformats.org/officeDocument/2006/relationships/hyperlink" Target="http://www.bav-astro.de/sfs/BAVM_link.php?BAVMnr=209" TargetMode="External"/><Relationship Id="rId17" Type="http://schemas.openxmlformats.org/officeDocument/2006/relationships/hyperlink" Target="http://www.bav-astro.de/sfs/BAVM_link.php?BAVMnr=228" TargetMode="External"/><Relationship Id="rId2" Type="http://schemas.openxmlformats.org/officeDocument/2006/relationships/hyperlink" Target="http://www.bav-astro.de/sfs/BAVM_link.php?BAVMnr=173" TargetMode="External"/><Relationship Id="rId16" Type="http://schemas.openxmlformats.org/officeDocument/2006/relationships/hyperlink" Target="http://www.bav-astro.de/sfs/BAVM_link.php?BAVMnr=228" TargetMode="External"/><Relationship Id="rId20" Type="http://schemas.openxmlformats.org/officeDocument/2006/relationships/hyperlink" Target="http://www.bav-astro.de/sfs/BAVM_link.php?BAVMnr=232" TargetMode="External"/><Relationship Id="rId1" Type="http://schemas.openxmlformats.org/officeDocument/2006/relationships/hyperlink" Target="http://www.konkoly.hu/cgi-bin/IBVS?5603" TargetMode="External"/><Relationship Id="rId6" Type="http://schemas.openxmlformats.org/officeDocument/2006/relationships/hyperlink" Target="http://www.konkoly.hu/cgi-bin/IBVS?5672" TargetMode="External"/><Relationship Id="rId11" Type="http://schemas.openxmlformats.org/officeDocument/2006/relationships/hyperlink" Target="http://www.konkoly.hu/cgi-bin/IBVS?5837" TargetMode="External"/><Relationship Id="rId5" Type="http://schemas.openxmlformats.org/officeDocument/2006/relationships/hyperlink" Target="http://www.konkoly.hu/cgi-bin/IBVS?5690" TargetMode="External"/><Relationship Id="rId15" Type="http://schemas.openxmlformats.org/officeDocument/2006/relationships/hyperlink" Target="http://www.konkoly.hu/cgi-bin/IBVS?5992" TargetMode="External"/><Relationship Id="rId10" Type="http://schemas.openxmlformats.org/officeDocument/2006/relationships/hyperlink" Target="http://www.bav-astro.de/sfs/BAVM_link.php?BAVMnr=186" TargetMode="External"/><Relationship Id="rId19" Type="http://schemas.openxmlformats.org/officeDocument/2006/relationships/hyperlink" Target="http://www.bav-astro.de/sfs/BAVM_link.php?BAVMnr=228" TargetMode="External"/><Relationship Id="rId4" Type="http://schemas.openxmlformats.org/officeDocument/2006/relationships/hyperlink" Target="http://www.konkoly.hu/cgi-bin/IBVS?5690" TargetMode="External"/><Relationship Id="rId9" Type="http://schemas.openxmlformats.org/officeDocument/2006/relationships/hyperlink" Target="http://www.bav-astro.de/sfs/BAVM_link.php?BAVMnr=178" TargetMode="External"/><Relationship Id="rId14" Type="http://schemas.openxmlformats.org/officeDocument/2006/relationships/hyperlink" Target="http://www.bav-astro.de/sfs/BAVM_link.php?BAVMnr=21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indexed="12"/>
  </sheetPr>
  <dimension ref="A1:U50"/>
  <sheetViews>
    <sheetView tabSelected="1" workbookViewId="0">
      <pane xSplit="14" ySplit="21" topLeftCell="O40" activePane="bottomRight" state="frozen"/>
      <selection pane="topRight" activeCell="O1" sqref="O1"/>
      <selection pane="bottomLeft" activeCell="A22" sqref="A22"/>
      <selection pane="bottomRight" activeCell="F8" sqref="F8"/>
    </sheetView>
  </sheetViews>
  <sheetFormatPr defaultColWidth="10.28515625" defaultRowHeight="12.75" x14ac:dyDescent="0.2"/>
  <cols>
    <col min="1" max="1" width="15.7109375" customWidth="1"/>
    <col min="2" max="2" width="4.140625" customWidth="1"/>
    <col min="3" max="3" width="11.85546875" style="10" customWidth="1"/>
    <col min="4" max="4" width="11" style="10" customWidth="1"/>
    <col min="5" max="5" width="9.85546875" style="12" customWidth="1"/>
    <col min="6" max="6" width="16.85546875" customWidth="1"/>
    <col min="7" max="7" width="8.140625" style="10" customWidth="1"/>
    <col min="8" max="13" width="8.5703125" style="10" customWidth="1"/>
    <col min="14" max="14" width="8" style="10" customWidth="1"/>
    <col min="15" max="15" width="7.7109375" style="10" customWidth="1"/>
    <col min="16" max="16" width="10.42578125" style="14" customWidth="1"/>
    <col min="17" max="17" width="9.140625" style="13" customWidth="1"/>
    <col min="18" max="18" width="18.7109375" style="13" bestFit="1" customWidth="1"/>
  </cols>
  <sheetData>
    <row r="1" spans="1:18" ht="20.25" x14ac:dyDescent="0.3">
      <c r="A1" s="1" t="s">
        <v>81</v>
      </c>
      <c r="B1" s="1"/>
      <c r="C1" s="17"/>
      <c r="D1"/>
      <c r="E1"/>
      <c r="G1"/>
      <c r="H1"/>
      <c r="I1"/>
      <c r="J1"/>
      <c r="K1"/>
      <c r="L1"/>
      <c r="M1"/>
      <c r="N1"/>
      <c r="O1"/>
      <c r="P1"/>
      <c r="Q1"/>
      <c r="R1"/>
    </row>
    <row r="2" spans="1:18" x14ac:dyDescent="0.2">
      <c r="A2" t="s">
        <v>29</v>
      </c>
      <c r="B2" t="s">
        <v>31</v>
      </c>
      <c r="C2"/>
      <c r="D2"/>
      <c r="E2"/>
      <c r="G2"/>
      <c r="H2"/>
      <c r="I2"/>
      <c r="J2"/>
      <c r="K2"/>
      <c r="L2"/>
      <c r="M2"/>
      <c r="N2"/>
      <c r="O2"/>
      <c r="P2"/>
      <c r="Q2"/>
      <c r="R2"/>
    </row>
    <row r="3" spans="1:18" ht="13.5" thickBot="1" x14ac:dyDescent="0.25">
      <c r="C3"/>
      <c r="D3"/>
      <c r="E3"/>
      <c r="G3"/>
      <c r="H3"/>
      <c r="I3"/>
      <c r="J3"/>
      <c r="K3"/>
      <c r="L3"/>
      <c r="M3"/>
      <c r="N3"/>
      <c r="O3"/>
      <c r="P3"/>
      <c r="Q3"/>
      <c r="R3"/>
    </row>
    <row r="4" spans="1:18" ht="14.25" thickTop="1" thickBot="1" x14ac:dyDescent="0.25">
      <c r="A4" s="7" t="s">
        <v>4</v>
      </c>
      <c r="B4" s="7"/>
      <c r="C4" s="2">
        <v>41945.292000000001</v>
      </c>
      <c r="D4" s="3">
        <v>0.54200000000000004</v>
      </c>
      <c r="E4"/>
      <c r="G4"/>
      <c r="H4"/>
      <c r="I4"/>
      <c r="J4"/>
      <c r="K4"/>
      <c r="L4"/>
      <c r="M4"/>
      <c r="N4"/>
      <c r="O4"/>
      <c r="P4"/>
      <c r="Q4"/>
      <c r="R4"/>
    </row>
    <row r="5" spans="1:18" ht="13.5" thickTop="1" x14ac:dyDescent="0.2">
      <c r="A5" s="42" t="s">
        <v>65</v>
      </c>
      <c r="B5" s="22"/>
      <c r="C5" s="43">
        <v>-9.5</v>
      </c>
      <c r="D5" s="22" t="s">
        <v>66</v>
      </c>
      <c r="E5"/>
      <c r="G5"/>
      <c r="H5"/>
      <c r="I5"/>
      <c r="J5"/>
      <c r="K5"/>
      <c r="L5"/>
      <c r="M5"/>
      <c r="N5"/>
      <c r="O5"/>
      <c r="P5"/>
      <c r="Q5"/>
      <c r="R5"/>
    </row>
    <row r="6" spans="1:18" x14ac:dyDescent="0.2">
      <c r="A6" s="7" t="s">
        <v>5</v>
      </c>
      <c r="B6" s="7"/>
      <c r="C6" s="17" t="s">
        <v>64</v>
      </c>
      <c r="D6"/>
      <c r="E6"/>
      <c r="G6"/>
      <c r="H6"/>
      <c r="I6"/>
      <c r="J6"/>
      <c r="K6"/>
      <c r="L6"/>
      <c r="M6"/>
      <c r="N6"/>
      <c r="O6"/>
      <c r="P6"/>
      <c r="Q6"/>
      <c r="R6"/>
    </row>
    <row r="7" spans="1:18" x14ac:dyDescent="0.2">
      <c r="A7" t="s">
        <v>6</v>
      </c>
      <c r="C7" s="10">
        <v>41945.292000000001</v>
      </c>
      <c r="D7" s="38" t="s">
        <v>63</v>
      </c>
      <c r="E7"/>
      <c r="G7"/>
      <c r="H7"/>
      <c r="I7"/>
      <c r="J7"/>
      <c r="K7"/>
      <c r="L7"/>
      <c r="M7"/>
      <c r="N7"/>
      <c r="O7"/>
      <c r="P7"/>
      <c r="Q7"/>
      <c r="R7"/>
    </row>
    <row r="8" spans="1:18" x14ac:dyDescent="0.2">
      <c r="A8" t="s">
        <v>7</v>
      </c>
      <c r="C8" s="15">
        <v>0.213204</v>
      </c>
      <c r="D8" s="15">
        <v>0.42640800000000001</v>
      </c>
      <c r="E8"/>
      <c r="G8"/>
      <c r="H8"/>
      <c r="I8"/>
      <c r="J8"/>
      <c r="K8"/>
      <c r="L8"/>
      <c r="M8"/>
      <c r="N8"/>
      <c r="O8"/>
      <c r="P8"/>
      <c r="Q8"/>
      <c r="R8"/>
    </row>
    <row r="9" spans="1:18" x14ac:dyDescent="0.2">
      <c r="A9" s="53" t="s">
        <v>71</v>
      </c>
      <c r="B9" s="54">
        <v>45</v>
      </c>
      <c r="C9" s="52" t="str">
        <f>"F"&amp;B9</f>
        <v>F45</v>
      </c>
      <c r="D9" s="18" t="str">
        <f>"G"&amp;B9</f>
        <v>G45</v>
      </c>
      <c r="G9"/>
      <c r="H9"/>
      <c r="I9"/>
      <c r="J9"/>
      <c r="K9"/>
      <c r="L9"/>
      <c r="M9"/>
      <c r="N9"/>
      <c r="O9"/>
      <c r="P9"/>
      <c r="Q9"/>
      <c r="R9"/>
    </row>
    <row r="10" spans="1:18" ht="13.5" thickBot="1" x14ac:dyDescent="0.25">
      <c r="A10" s="22"/>
      <c r="B10" s="22"/>
      <c r="C10" s="6" t="s">
        <v>24</v>
      </c>
      <c r="D10" s="6" t="s">
        <v>25</v>
      </c>
      <c r="E10" s="22"/>
      <c r="G10"/>
      <c r="H10"/>
      <c r="I10"/>
      <c r="J10"/>
      <c r="K10"/>
      <c r="L10"/>
      <c r="M10"/>
      <c r="N10"/>
      <c r="O10"/>
      <c r="P10"/>
      <c r="Q10"/>
      <c r="R10"/>
    </row>
    <row r="11" spans="1:18" x14ac:dyDescent="0.2">
      <c r="A11" s="22" t="s">
        <v>20</v>
      </c>
      <c r="B11" s="22"/>
      <c r="C11" s="51">
        <f ca="1">INTERCEPT(INDIRECT($D$9):G990,INDIRECT($C$9):F990)</f>
        <v>0.23467526189315369</v>
      </c>
      <c r="D11" s="5"/>
      <c r="E11" s="22"/>
      <c r="H11"/>
      <c r="I11"/>
      <c r="J11"/>
      <c r="K11"/>
      <c r="L11"/>
      <c r="M11"/>
      <c r="N11"/>
      <c r="O11"/>
      <c r="P11"/>
      <c r="Q11"/>
      <c r="R11"/>
    </row>
    <row r="12" spans="1:18" x14ac:dyDescent="0.2">
      <c r="A12" s="22" t="s">
        <v>21</v>
      </c>
      <c r="B12" s="22"/>
      <c r="C12" s="51">
        <f ca="1">SLOPE(INDIRECT($D$9):G990,INDIRECT($C$9):F990)</f>
        <v>-3.5729141098746953E-6</v>
      </c>
      <c r="D12" s="5"/>
      <c r="E12" s="22"/>
      <c r="G12"/>
      <c r="H12"/>
      <c r="I12"/>
      <c r="J12"/>
      <c r="K12"/>
      <c r="L12"/>
      <c r="M12"/>
      <c r="N12"/>
      <c r="O12"/>
      <c r="P12"/>
      <c r="Q12"/>
      <c r="R12"/>
    </row>
    <row r="13" spans="1:18" x14ac:dyDescent="0.2">
      <c r="A13" s="22" t="s">
        <v>23</v>
      </c>
      <c r="B13" s="22"/>
      <c r="C13" s="5" t="s">
        <v>18</v>
      </c>
      <c r="G13"/>
      <c r="H13"/>
      <c r="I13"/>
      <c r="J13"/>
      <c r="K13"/>
      <c r="L13"/>
      <c r="M13"/>
      <c r="N13"/>
      <c r="O13"/>
      <c r="P13"/>
      <c r="Q13"/>
      <c r="R13"/>
    </row>
    <row r="14" spans="1:18" x14ac:dyDescent="0.2">
      <c r="A14" s="22"/>
      <c r="B14" s="22"/>
      <c r="C14" s="22"/>
      <c r="G14"/>
      <c r="H14"/>
      <c r="I14"/>
      <c r="J14"/>
      <c r="K14"/>
      <c r="L14"/>
      <c r="M14"/>
      <c r="N14"/>
      <c r="O14"/>
      <c r="P14"/>
      <c r="Q14"/>
      <c r="R14"/>
    </row>
    <row r="15" spans="1:18" x14ac:dyDescent="0.2">
      <c r="A15" s="44" t="s">
        <v>22</v>
      </c>
      <c r="B15" s="22"/>
      <c r="C15" s="28">
        <f ca="1">(C7+C11)+(C8+C12)*INT(MAX(F21:F3531))</f>
        <v>57462.466959000063</v>
      </c>
      <c r="E15" s="45" t="s">
        <v>74</v>
      </c>
      <c r="F15" s="43">
        <v>1</v>
      </c>
      <c r="G15"/>
      <c r="H15"/>
      <c r="I15"/>
      <c r="J15"/>
      <c r="K15"/>
      <c r="L15"/>
      <c r="M15"/>
      <c r="N15"/>
      <c r="O15"/>
      <c r="R15"/>
    </row>
    <row r="16" spans="1:18" x14ac:dyDescent="0.2">
      <c r="A16" s="47" t="s">
        <v>8</v>
      </c>
      <c r="B16" s="22"/>
      <c r="C16" s="36">
        <f ca="1">+C8+C12</f>
        <v>0.21320042708589013</v>
      </c>
      <c r="E16" s="45" t="s">
        <v>67</v>
      </c>
      <c r="F16" s="46">
        <f ca="1">NOW()+15018.5+$C$5/24</f>
        <v>60354.695303009255</v>
      </c>
      <c r="G16"/>
      <c r="H16"/>
      <c r="I16"/>
      <c r="J16"/>
      <c r="K16"/>
      <c r="L16"/>
      <c r="M16"/>
      <c r="N16"/>
      <c r="O16"/>
      <c r="P16"/>
      <c r="Q16"/>
      <c r="R16"/>
    </row>
    <row r="17" spans="1:21" ht="13.5" thickBot="1" x14ac:dyDescent="0.25">
      <c r="A17" s="45" t="s">
        <v>57</v>
      </c>
      <c r="B17" s="22"/>
      <c r="C17" s="22">
        <f>COUNT(C21:C2189)</f>
        <v>30</v>
      </c>
      <c r="E17" s="45" t="s">
        <v>75</v>
      </c>
      <c r="F17" s="46">
        <f ca="1">ROUND(2*(F16-$C$7)/$C$8,0)/2+F15</f>
        <v>86347.5</v>
      </c>
      <c r="G17"/>
      <c r="H17"/>
      <c r="I17"/>
      <c r="J17"/>
      <c r="K17"/>
      <c r="L17"/>
      <c r="M17"/>
      <c r="N17"/>
      <c r="O17"/>
      <c r="P17"/>
      <c r="Q17"/>
      <c r="R17"/>
    </row>
    <row r="18" spans="1:21" ht="14.25" thickTop="1" thickBot="1" x14ac:dyDescent="0.25">
      <c r="A18" s="47" t="s">
        <v>9</v>
      </c>
      <c r="B18" s="22"/>
      <c r="C18" s="49">
        <f ca="1">+C15</f>
        <v>57462.466959000063</v>
      </c>
      <c r="D18" s="50">
        <f ca="1">+C16</f>
        <v>0.21320042708589013</v>
      </c>
      <c r="E18" s="45" t="s">
        <v>68</v>
      </c>
      <c r="F18" s="18">
        <f ca="1">ROUND(2*(F16-$C$15)/$C$16,0)/2+F15</f>
        <v>13567</v>
      </c>
      <c r="G18"/>
      <c r="H18"/>
      <c r="I18"/>
      <c r="J18"/>
      <c r="K18"/>
      <c r="L18"/>
      <c r="M18"/>
      <c r="N18"/>
      <c r="O18"/>
      <c r="P18" t="s">
        <v>59</v>
      </c>
      <c r="Q18" s="10">
        <f ca="1">SUM(Q22:Q38)</f>
        <v>2.3962573197564063E-2</v>
      </c>
      <c r="R18"/>
    </row>
    <row r="19" spans="1:21" ht="13.5" thickTop="1" x14ac:dyDescent="0.2">
      <c r="E19" s="45" t="s">
        <v>69</v>
      </c>
      <c r="F19" s="48">
        <f ca="1">+$C$15+$C$16*F18-15018.5-$C$5/24</f>
        <v>45336.852986607671</v>
      </c>
      <c r="G19"/>
      <c r="H19"/>
      <c r="I19"/>
      <c r="J19"/>
      <c r="K19"/>
      <c r="L19"/>
      <c r="M19"/>
      <c r="N19"/>
      <c r="O19"/>
      <c r="P19"/>
      <c r="Q19"/>
      <c r="R19"/>
    </row>
    <row r="20" spans="1:21" ht="13.5" thickBot="1" x14ac:dyDescent="0.25">
      <c r="A20" s="6" t="s">
        <v>10</v>
      </c>
      <c r="B20" s="6" t="s">
        <v>11</v>
      </c>
      <c r="C20" s="6" t="s">
        <v>12</v>
      </c>
      <c r="D20" s="6" t="s">
        <v>17</v>
      </c>
      <c r="E20" s="6" t="s">
        <v>13</v>
      </c>
      <c r="F20" s="6" t="s">
        <v>14</v>
      </c>
      <c r="G20" s="6" t="s">
        <v>15</v>
      </c>
      <c r="H20" s="9" t="s">
        <v>90</v>
      </c>
      <c r="I20" s="9" t="s">
        <v>93</v>
      </c>
      <c r="J20" s="9" t="s">
        <v>87</v>
      </c>
      <c r="K20" s="9" t="s">
        <v>85</v>
      </c>
      <c r="L20" s="9" t="s">
        <v>1</v>
      </c>
      <c r="M20" s="9" t="s">
        <v>2</v>
      </c>
      <c r="N20" s="9" t="s">
        <v>27</v>
      </c>
      <c r="O20" s="8" t="s">
        <v>26</v>
      </c>
      <c r="P20" s="6" t="s">
        <v>19</v>
      </c>
      <c r="Q20" s="23" t="s">
        <v>45</v>
      </c>
      <c r="R20"/>
      <c r="U20" s="90" t="s">
        <v>3</v>
      </c>
    </row>
    <row r="21" spans="1:21" x14ac:dyDescent="0.2">
      <c r="A21" t="s">
        <v>16</v>
      </c>
      <c r="B21" s="30"/>
      <c r="C21" s="83">
        <v>41945.292000000001</v>
      </c>
      <c r="D21" s="39" t="s">
        <v>18</v>
      </c>
      <c r="E21" s="12">
        <f t="shared" ref="E21:E50" si="0">+(C21-C$7)/C$8</f>
        <v>0</v>
      </c>
      <c r="F21">
        <f t="shared" ref="F21:F50" si="1">ROUND(2*E21,0)/2</f>
        <v>0</v>
      </c>
      <c r="G21" s="10">
        <f t="shared" ref="G21:G38" si="2">+C21-(C$7+F21*C$8)</f>
        <v>0</v>
      </c>
      <c r="I21" s="10">
        <f>+G21</f>
        <v>0</v>
      </c>
      <c r="P21" s="14">
        <f t="shared" ref="P21:P50" si="3">+C21-15018.5</f>
        <v>26926.792000000001</v>
      </c>
    </row>
    <row r="22" spans="1:21" x14ac:dyDescent="0.2">
      <c r="A22" t="s">
        <v>32</v>
      </c>
      <c r="B22" s="30" t="s">
        <v>33</v>
      </c>
      <c r="C22" s="84">
        <v>51243.988499999999</v>
      </c>
      <c r="D22" s="39">
        <v>1.5E-3</v>
      </c>
      <c r="E22" s="12">
        <f t="shared" si="0"/>
        <v>43614.080880283662</v>
      </c>
      <c r="F22">
        <f t="shared" si="1"/>
        <v>43614</v>
      </c>
      <c r="G22" s="10">
        <f t="shared" si="2"/>
        <v>1.724399999511661E-2</v>
      </c>
      <c r="K22" s="19">
        <f>+C22-(C$7+F22*C$8)</f>
        <v>1.724399999511661E-2</v>
      </c>
      <c r="P22" s="14">
        <f t="shared" si="3"/>
        <v>36225.488499999999</v>
      </c>
      <c r="Q22" s="10">
        <f t="shared" ref="Q22:Q50" si="4">+(N22-G22)^2</f>
        <v>2.9735553583158165E-4</v>
      </c>
    </row>
    <row r="23" spans="1:21" x14ac:dyDescent="0.2">
      <c r="A23" t="s">
        <v>35</v>
      </c>
      <c r="B23" s="30" t="s">
        <v>36</v>
      </c>
      <c r="C23" s="83">
        <v>51275.214</v>
      </c>
      <c r="D23" s="39"/>
      <c r="E23" s="12">
        <f t="shared" si="0"/>
        <v>43760.539201891137</v>
      </c>
      <c r="F23">
        <f t="shared" si="1"/>
        <v>43760.5</v>
      </c>
      <c r="G23" s="10">
        <f t="shared" si="2"/>
        <v>8.3579999991343357E-3</v>
      </c>
      <c r="H23" s="10">
        <f>G23</f>
        <v>8.3579999991343357E-3</v>
      </c>
      <c r="N23" s="10">
        <f ca="1">+C$11+C$12*F23</f>
        <v>7.832275398798208E-2</v>
      </c>
      <c r="P23" s="14">
        <f t="shared" si="3"/>
        <v>36256.714</v>
      </c>
      <c r="Q23" s="10">
        <f t="shared" ca="1" si="4"/>
        <v>4.895066800719986E-3</v>
      </c>
    </row>
    <row r="24" spans="1:21" x14ac:dyDescent="0.2">
      <c r="A24" s="26" t="s">
        <v>35</v>
      </c>
      <c r="B24" s="30" t="s">
        <v>34</v>
      </c>
      <c r="C24" s="83">
        <v>51275.756000000001</v>
      </c>
      <c r="D24" s="39"/>
      <c r="E24" s="12">
        <f t="shared" si="0"/>
        <v>43763.081368079394</v>
      </c>
      <c r="F24">
        <f t="shared" si="1"/>
        <v>43763</v>
      </c>
      <c r="G24" s="10">
        <f t="shared" si="2"/>
        <v>1.7348000001220498E-2</v>
      </c>
      <c r="H24" s="10">
        <f>G24</f>
        <v>1.7348000001220498E-2</v>
      </c>
      <c r="N24" s="10">
        <f ca="1">+C$11+C$12*F24</f>
        <v>7.8313821702707398E-2</v>
      </c>
      <c r="P24" s="14">
        <f t="shared" si="3"/>
        <v>36257.256000000001</v>
      </c>
      <c r="Q24" s="10">
        <f t="shared" ca="1" si="4"/>
        <v>3.7168314157374912E-3</v>
      </c>
    </row>
    <row r="25" spans="1:21" x14ac:dyDescent="0.2">
      <c r="A25" s="26" t="s">
        <v>35</v>
      </c>
      <c r="B25" s="30" t="s">
        <v>33</v>
      </c>
      <c r="C25" s="83">
        <v>51275.9692</v>
      </c>
      <c r="D25" s="39"/>
      <c r="E25" s="12">
        <f t="shared" si="0"/>
        <v>43764.081349318018</v>
      </c>
      <c r="F25">
        <f t="shared" si="1"/>
        <v>43764</v>
      </c>
      <c r="G25" s="10">
        <f t="shared" si="2"/>
        <v>1.7343999999866355E-2</v>
      </c>
      <c r="H25" s="10">
        <f>G25</f>
        <v>1.7343999999866355E-2</v>
      </c>
      <c r="N25" s="10">
        <f ca="1">+C$11+C$12*F25</f>
        <v>7.831024878859752E-2</v>
      </c>
      <c r="P25" s="14">
        <f t="shared" si="3"/>
        <v>36257.4692</v>
      </c>
      <c r="Q25" s="10">
        <f t="shared" ca="1" si="4"/>
        <v>3.716883491369464E-3</v>
      </c>
    </row>
    <row r="26" spans="1:21" x14ac:dyDescent="0.2">
      <c r="A26" s="26" t="s">
        <v>32</v>
      </c>
      <c r="B26" s="30" t="s">
        <v>34</v>
      </c>
      <c r="C26" s="83">
        <v>51310.718399999998</v>
      </c>
      <c r="D26" s="39">
        <v>8.9999999999999998E-4</v>
      </c>
      <c r="E26" s="12">
        <f t="shared" si="0"/>
        <v>43927.067034389584</v>
      </c>
      <c r="F26">
        <f t="shared" si="1"/>
        <v>43927</v>
      </c>
      <c r="G26" s="10">
        <f t="shared" si="2"/>
        <v>1.4291999992565252E-2</v>
      </c>
      <c r="K26" s="10">
        <f>+G26</f>
        <v>1.4291999992565252E-2</v>
      </c>
      <c r="P26" s="14">
        <f t="shared" si="3"/>
        <v>36292.218399999998</v>
      </c>
      <c r="Q26" s="10">
        <f t="shared" si="4"/>
        <v>2.0426126378748517E-4</v>
      </c>
    </row>
    <row r="27" spans="1:21" x14ac:dyDescent="0.2">
      <c r="A27" s="26" t="s">
        <v>35</v>
      </c>
      <c r="B27" s="30" t="s">
        <v>37</v>
      </c>
      <c r="C27" s="83">
        <v>51349.731</v>
      </c>
      <c r="D27" s="39"/>
      <c r="E27" s="12">
        <f t="shared" si="0"/>
        <v>44110.049530027572</v>
      </c>
      <c r="F27">
        <f t="shared" si="1"/>
        <v>44110</v>
      </c>
      <c r="G27" s="10">
        <f t="shared" si="2"/>
        <v>1.0559999995166436E-2</v>
      </c>
      <c r="H27" s="10">
        <f>+G27</f>
        <v>1.0559999995166436E-2</v>
      </c>
      <c r="N27" s="10">
        <f ca="1">+C$11+C$12*F27</f>
        <v>7.7074020506580881E-2</v>
      </c>
      <c r="P27" s="14">
        <f t="shared" si="3"/>
        <v>36331.231</v>
      </c>
      <c r="Q27" s="10">
        <f t="shared" ca="1" si="4"/>
        <v>4.4241149245928613E-3</v>
      </c>
    </row>
    <row r="28" spans="1:21" x14ac:dyDescent="0.2">
      <c r="A28" s="26" t="s">
        <v>40</v>
      </c>
      <c r="B28" s="30" t="s">
        <v>33</v>
      </c>
      <c r="C28" s="83">
        <v>52426.4162</v>
      </c>
      <c r="D28" s="39">
        <v>8.9999999999999998E-4</v>
      </c>
      <c r="E28" s="12">
        <f t="shared" si="0"/>
        <v>49160.072981745172</v>
      </c>
      <c r="F28">
        <f t="shared" si="1"/>
        <v>49160</v>
      </c>
      <c r="G28" s="10">
        <f t="shared" si="2"/>
        <v>1.5559999999823049E-2</v>
      </c>
      <c r="K28" s="10">
        <f>G28</f>
        <v>1.5559999999823049E-2</v>
      </c>
      <c r="P28" s="14">
        <f t="shared" si="3"/>
        <v>37407.9162</v>
      </c>
      <c r="Q28" s="10">
        <f t="shared" si="4"/>
        <v>2.4211359999449329E-4</v>
      </c>
    </row>
    <row r="29" spans="1:21" x14ac:dyDescent="0.2">
      <c r="A29" s="29" t="s">
        <v>44</v>
      </c>
      <c r="B29" s="20" t="s">
        <v>34</v>
      </c>
      <c r="C29" s="85">
        <v>53114.851999999999</v>
      </c>
      <c r="D29" s="39">
        <v>6.9999999999999999E-4</v>
      </c>
      <c r="E29" s="12">
        <f t="shared" si="0"/>
        <v>52389.073375734028</v>
      </c>
      <c r="F29">
        <f t="shared" si="1"/>
        <v>52389</v>
      </c>
      <c r="G29" s="10">
        <f t="shared" si="2"/>
        <v>1.5643999999156222E-2</v>
      </c>
      <c r="J29" s="10">
        <f>G29</f>
        <v>1.5643999999156222E-2</v>
      </c>
      <c r="K29" s="10">
        <f>+G29</f>
        <v>1.5643999999156222E-2</v>
      </c>
      <c r="P29" s="14">
        <f t="shared" si="3"/>
        <v>38096.351999999999</v>
      </c>
      <c r="Q29" s="10">
        <f t="shared" si="4"/>
        <v>2.4473473597359986E-4</v>
      </c>
    </row>
    <row r="30" spans="1:21" x14ac:dyDescent="0.2">
      <c r="A30" s="35" t="s">
        <v>56</v>
      </c>
      <c r="B30" s="20"/>
      <c r="C30" s="83">
        <v>53117.409899999999</v>
      </c>
      <c r="D30" s="39">
        <v>1E-3</v>
      </c>
      <c r="E30" s="12">
        <f t="shared" si="0"/>
        <v>52401.070805425778</v>
      </c>
      <c r="F30">
        <f t="shared" si="1"/>
        <v>52401</v>
      </c>
      <c r="G30" s="10">
        <f t="shared" si="2"/>
        <v>1.5095999995537568E-2</v>
      </c>
      <c r="J30" s="10">
        <f>G30</f>
        <v>1.5095999995537568E-2</v>
      </c>
      <c r="N30" s="10">
        <f ca="1">+C$11+C$12*F30</f>
        <v>4.745098962160979E-2</v>
      </c>
      <c r="P30" s="14">
        <f t="shared" si="3"/>
        <v>38098.909899999999</v>
      </c>
      <c r="Q30" s="10">
        <f t="shared" ca="1" si="4"/>
        <v>1.0468453537032412E-3</v>
      </c>
    </row>
    <row r="31" spans="1:21" x14ac:dyDescent="0.2">
      <c r="A31" s="31" t="s">
        <v>49</v>
      </c>
      <c r="B31" s="30" t="s">
        <v>33</v>
      </c>
      <c r="C31" s="83">
        <v>53123.380499999999</v>
      </c>
      <c r="D31" s="39">
        <v>8.0000000000000004E-4</v>
      </c>
      <c r="E31" s="12">
        <f t="shared" si="0"/>
        <v>52429.074970450827</v>
      </c>
      <c r="F31">
        <f t="shared" si="1"/>
        <v>52429</v>
      </c>
      <c r="G31" s="10">
        <f t="shared" si="2"/>
        <v>1.5983999997843057E-2</v>
      </c>
      <c r="K31" s="19">
        <f>+C31-(C$7+F31*C$8)</f>
        <v>1.5983999997843057E-2</v>
      </c>
      <c r="P31" s="14">
        <f t="shared" si="3"/>
        <v>38104.880499999999</v>
      </c>
      <c r="Q31" s="10">
        <f t="shared" si="4"/>
        <v>2.5548825593104687E-4</v>
      </c>
    </row>
    <row r="32" spans="1:21" x14ac:dyDescent="0.2">
      <c r="A32" s="27" t="s">
        <v>39</v>
      </c>
      <c r="B32" s="30" t="s">
        <v>34</v>
      </c>
      <c r="C32" s="83">
        <v>53265.59</v>
      </c>
      <c r="D32" s="39">
        <v>2.0000000000000001E-4</v>
      </c>
      <c r="E32" s="12">
        <f t="shared" si="0"/>
        <v>53096.086377366257</v>
      </c>
      <c r="F32">
        <f t="shared" si="1"/>
        <v>53096</v>
      </c>
      <c r="G32" s="10">
        <f t="shared" si="2"/>
        <v>1.8415999991702847E-2</v>
      </c>
      <c r="K32" s="19">
        <f>+C32-(C$7+F32*C$8)</f>
        <v>1.8415999991702847E-2</v>
      </c>
      <c r="N32" s="10">
        <f t="shared" ref="N32:N50" ca="1" si="5">+C$11+C$12*F32</f>
        <v>4.4967814315246851E-2</v>
      </c>
      <c r="P32" s="14">
        <f t="shared" si="3"/>
        <v>38247.089999999997</v>
      </c>
      <c r="Q32" s="10">
        <f t="shared" ca="1" si="4"/>
        <v>7.0499884387195655E-4</v>
      </c>
    </row>
    <row r="33" spans="1:21" x14ac:dyDescent="0.2">
      <c r="A33" s="27" t="s">
        <v>39</v>
      </c>
      <c r="B33" s="30" t="s">
        <v>34</v>
      </c>
      <c r="C33" s="83">
        <v>53266.650999999998</v>
      </c>
      <c r="D33" s="41">
        <v>4.0000000000000002E-4</v>
      </c>
      <c r="E33" s="12">
        <f t="shared" si="0"/>
        <v>53101.062831841788</v>
      </c>
      <c r="F33">
        <f t="shared" si="1"/>
        <v>53101</v>
      </c>
      <c r="G33" s="10">
        <f t="shared" si="2"/>
        <v>1.3395999994827434E-2</v>
      </c>
      <c r="K33" s="10">
        <f>+G33</f>
        <v>1.3395999994827434E-2</v>
      </c>
      <c r="N33" s="10">
        <f t="shared" ca="1" si="5"/>
        <v>4.4949949744697487E-2</v>
      </c>
      <c r="P33" s="14">
        <f t="shared" si="3"/>
        <v>38248.150999999998</v>
      </c>
      <c r="Q33" s="10">
        <f t="shared" ca="1" si="4"/>
        <v>9.9565174481732431E-4</v>
      </c>
    </row>
    <row r="34" spans="1:21" x14ac:dyDescent="0.2">
      <c r="A34" s="27" t="s">
        <v>39</v>
      </c>
      <c r="B34" s="30" t="s">
        <v>34</v>
      </c>
      <c r="C34" s="83">
        <v>53269.638099999996</v>
      </c>
      <c r="D34" s="39"/>
      <c r="E34" s="12">
        <f t="shared" si="0"/>
        <v>53115.073356972644</v>
      </c>
      <c r="F34">
        <f t="shared" si="1"/>
        <v>53115</v>
      </c>
      <c r="G34" s="10">
        <f t="shared" si="2"/>
        <v>1.5639999997802079E-2</v>
      </c>
      <c r="K34" s="19">
        <f>+C34-(C$7+F34*C$8)</f>
        <v>1.5639999997802079E-2</v>
      </c>
      <c r="N34" s="10">
        <f t="shared" ca="1" si="5"/>
        <v>4.4899928947159246E-2</v>
      </c>
      <c r="P34" s="14">
        <f t="shared" si="3"/>
        <v>38251.138099999996</v>
      </c>
      <c r="Q34" s="10">
        <f t="shared" ca="1" si="4"/>
        <v>8.561434421214296E-4</v>
      </c>
    </row>
    <row r="35" spans="1:21" x14ac:dyDescent="0.2">
      <c r="A35" s="32" t="s">
        <v>55</v>
      </c>
      <c r="B35" s="5"/>
      <c r="C35" s="83">
        <v>53499.897199999999</v>
      </c>
      <c r="D35" s="39"/>
      <c r="E35" s="12">
        <f t="shared" si="0"/>
        <v>54195.067634753563</v>
      </c>
      <c r="F35">
        <f t="shared" si="1"/>
        <v>54195</v>
      </c>
      <c r="G35" s="10">
        <f t="shared" si="2"/>
        <v>1.4419999999518041E-2</v>
      </c>
      <c r="K35" s="19">
        <f>+C35-(C$7+F35*C$8)</f>
        <v>1.4419999999518041E-2</v>
      </c>
      <c r="L35" s="10">
        <f>G35</f>
        <v>1.4419999999518041E-2</v>
      </c>
      <c r="N35" s="10">
        <f t="shared" ca="1" si="5"/>
        <v>4.1041181708494578E-2</v>
      </c>
      <c r="P35" s="14">
        <f t="shared" si="3"/>
        <v>38481.397199999999</v>
      </c>
      <c r="Q35" s="10">
        <f t="shared" ca="1" si="4"/>
        <v>7.0868731558234698E-4</v>
      </c>
    </row>
    <row r="36" spans="1:21" x14ac:dyDescent="0.2">
      <c r="A36" s="22" t="s">
        <v>58</v>
      </c>
      <c r="B36" s="21"/>
      <c r="C36" s="83">
        <v>53515.460400000004</v>
      </c>
      <c r="D36" s="39"/>
      <c r="E36" s="12">
        <f t="shared" si="0"/>
        <v>54268.064389035862</v>
      </c>
      <c r="F36">
        <f t="shared" si="1"/>
        <v>54268</v>
      </c>
      <c r="G36" s="10">
        <f t="shared" si="2"/>
        <v>1.3727999998081941E-2</v>
      </c>
      <c r="J36" s="10">
        <f>G36</f>
        <v>1.3727999998081941E-2</v>
      </c>
      <c r="N36" s="10">
        <f t="shared" ca="1" si="5"/>
        <v>4.0780358978473707E-2</v>
      </c>
      <c r="P36" s="14">
        <f t="shared" si="3"/>
        <v>38496.960400000004</v>
      </c>
      <c r="Q36" s="10">
        <f t="shared" ca="1" si="4"/>
        <v>7.3183012640398303E-4</v>
      </c>
    </row>
    <row r="37" spans="1:21" x14ac:dyDescent="0.2">
      <c r="A37" s="55" t="s">
        <v>58</v>
      </c>
      <c r="B37" s="56"/>
      <c r="C37" s="84">
        <v>53518.447899999999</v>
      </c>
      <c r="D37" s="40"/>
      <c r="E37" s="12">
        <f t="shared" si="0"/>
        <v>54282.076790304112</v>
      </c>
      <c r="F37">
        <f t="shared" si="1"/>
        <v>54282</v>
      </c>
      <c r="G37" s="10">
        <f t="shared" si="2"/>
        <v>1.6371999998227693E-2</v>
      </c>
      <c r="J37" s="10">
        <f>G37</f>
        <v>1.6371999998227693E-2</v>
      </c>
      <c r="N37" s="10">
        <f t="shared" ca="1" si="5"/>
        <v>4.0730338180935466E-2</v>
      </c>
      <c r="P37" s="14">
        <f t="shared" si="3"/>
        <v>38499.947899999999</v>
      </c>
      <c r="Q37" s="10">
        <f t="shared" ca="1" si="4"/>
        <v>5.9332863902315943E-4</v>
      </c>
    </row>
    <row r="38" spans="1:21" x14ac:dyDescent="0.2">
      <c r="A38" s="55" t="s">
        <v>58</v>
      </c>
      <c r="B38" s="56"/>
      <c r="C38" s="84">
        <v>53847.422400000003</v>
      </c>
      <c r="D38" s="40"/>
      <c r="E38" s="12">
        <f t="shared" si="0"/>
        <v>55825.080204874212</v>
      </c>
      <c r="F38">
        <f t="shared" si="1"/>
        <v>55825</v>
      </c>
      <c r="G38" s="10">
        <f t="shared" si="2"/>
        <v>1.7100000004575122E-2</v>
      </c>
      <c r="J38" s="10">
        <f>G38</f>
        <v>1.7100000004575122E-2</v>
      </c>
      <c r="N38" s="10">
        <f t="shared" ca="1" si="5"/>
        <v>3.5217331709398808E-2</v>
      </c>
      <c r="P38" s="14">
        <f t="shared" si="3"/>
        <v>38828.922400000003</v>
      </c>
      <c r="Q38" s="10">
        <f t="shared" ca="1" si="4"/>
        <v>3.2823770810260953E-4</v>
      </c>
    </row>
    <row r="39" spans="1:21" x14ac:dyDescent="0.2">
      <c r="A39" s="29" t="s">
        <v>70</v>
      </c>
      <c r="B39" s="57"/>
      <c r="C39" s="84">
        <v>54222.4375</v>
      </c>
      <c r="D39" s="29">
        <v>3.5000000000000001E-3</v>
      </c>
      <c r="E39" s="12">
        <f t="shared" si="0"/>
        <v>57584.02984934616</v>
      </c>
      <c r="F39">
        <f t="shared" si="1"/>
        <v>57584</v>
      </c>
      <c r="J39" s="25">
        <v>6.3640000007580966E-3</v>
      </c>
      <c r="N39" s="10">
        <f t="shared" ca="1" si="5"/>
        <v>2.8932575790129228E-2</v>
      </c>
      <c r="P39" s="14">
        <f t="shared" si="3"/>
        <v>39203.9375</v>
      </c>
      <c r="Q39" s="10">
        <f t="shared" ca="1" si="4"/>
        <v>8.370939418515719E-4</v>
      </c>
    </row>
    <row r="40" spans="1:21" x14ac:dyDescent="0.2">
      <c r="A40" s="55" t="s">
        <v>72</v>
      </c>
      <c r="B40" s="58" t="s">
        <v>33</v>
      </c>
      <c r="C40" s="84">
        <v>54297.493799999997</v>
      </c>
      <c r="D40" s="40"/>
      <c r="E40" s="12">
        <f t="shared" si="0"/>
        <v>57936.069679743319</v>
      </c>
      <c r="F40">
        <f t="shared" si="1"/>
        <v>57936</v>
      </c>
      <c r="G40" s="10">
        <f>+C40-(C$7+F40*C$8)</f>
        <v>1.485599999432452E-2</v>
      </c>
      <c r="J40" s="10">
        <f>G40</f>
        <v>1.485599999432452E-2</v>
      </c>
      <c r="N40" s="10">
        <f t="shared" ca="1" si="5"/>
        <v>2.7674910023453347E-2</v>
      </c>
      <c r="P40" s="14">
        <f t="shared" si="3"/>
        <v>39278.993799999997</v>
      </c>
      <c r="Q40" s="10">
        <f t="shared" ca="1" si="4"/>
        <v>1.6432445433489963E-4</v>
      </c>
    </row>
    <row r="41" spans="1:21" x14ac:dyDescent="0.2">
      <c r="A41" s="59" t="s">
        <v>76</v>
      </c>
      <c r="B41" s="60" t="s">
        <v>34</v>
      </c>
      <c r="C41" s="86">
        <v>54937.527199999997</v>
      </c>
      <c r="D41" s="86">
        <v>8.0000000000000004E-4</v>
      </c>
      <c r="E41" s="12">
        <f t="shared" si="0"/>
        <v>60938.046190502973</v>
      </c>
      <c r="F41">
        <f t="shared" si="1"/>
        <v>60938</v>
      </c>
      <c r="G41" s="10">
        <f>+C41-(C$7+F41*C$8)</f>
        <v>9.8479999942355789E-3</v>
      </c>
      <c r="J41" s="10">
        <f>G41</f>
        <v>9.8479999942355789E-3</v>
      </c>
      <c r="N41" s="10">
        <f t="shared" ca="1" si="5"/>
        <v>1.6949021865609509E-2</v>
      </c>
      <c r="P41" s="14">
        <f t="shared" si="3"/>
        <v>39919.027199999997</v>
      </c>
      <c r="Q41" s="10">
        <f t="shared" ca="1" si="4"/>
        <v>5.0424511617730918E-5</v>
      </c>
    </row>
    <row r="42" spans="1:21" x14ac:dyDescent="0.2">
      <c r="A42" s="59" t="s">
        <v>73</v>
      </c>
      <c r="B42" s="60" t="s">
        <v>34</v>
      </c>
      <c r="C42" s="86">
        <v>55312.760999999999</v>
      </c>
      <c r="D42" s="59">
        <v>2.0000000000000001E-4</v>
      </c>
      <c r="E42" s="12">
        <f t="shared" si="0"/>
        <v>62698.02161310293</v>
      </c>
      <c r="F42">
        <f t="shared" si="1"/>
        <v>62698</v>
      </c>
      <c r="N42" s="10">
        <f t="shared" ca="1" si="5"/>
        <v>1.0660693032230051E-2</v>
      </c>
      <c r="P42" s="14">
        <f t="shared" si="3"/>
        <v>40294.260999999999</v>
      </c>
      <c r="Q42" s="10">
        <f t="shared" ca="1" si="4"/>
        <v>1.1365037592743836E-4</v>
      </c>
      <c r="U42" s="25">
        <v>4.607999995641876E-3</v>
      </c>
    </row>
    <row r="43" spans="1:21" x14ac:dyDescent="0.2">
      <c r="A43" s="61" t="s">
        <v>82</v>
      </c>
      <c r="B43" s="61"/>
      <c r="C43" s="87">
        <v>55388.448700000001</v>
      </c>
      <c r="D43" s="62">
        <v>2.3E-3</v>
      </c>
      <c r="E43" s="12">
        <f t="shared" si="0"/>
        <v>63053.022926399128</v>
      </c>
      <c r="F43">
        <f t="shared" si="1"/>
        <v>63053</v>
      </c>
      <c r="G43" s="10">
        <f t="shared" ref="G43:G50" si="6">+C43-(C$7+F43*C$8)</f>
        <v>4.8880000031203963E-3</v>
      </c>
      <c r="J43" s="10">
        <f>G43</f>
        <v>4.8880000031203963E-3</v>
      </c>
      <c r="N43" s="10">
        <f t="shared" ca="1" si="5"/>
        <v>9.3923085232245351E-3</v>
      </c>
      <c r="P43" s="14">
        <f t="shared" si="3"/>
        <v>40369.948700000001</v>
      </c>
      <c r="Q43" s="10">
        <f t="shared" ca="1" si="4"/>
        <v>2.0288795244282738E-5</v>
      </c>
    </row>
    <row r="44" spans="1:21" x14ac:dyDescent="0.2">
      <c r="A44" s="59" t="s">
        <v>77</v>
      </c>
      <c r="B44" s="60" t="s">
        <v>34</v>
      </c>
      <c r="C44" s="86">
        <v>55726.797599999998</v>
      </c>
      <c r="D44" s="59">
        <v>6.9999999999999999E-4</v>
      </c>
      <c r="E44" s="12">
        <f t="shared" si="0"/>
        <v>64639.995497270203</v>
      </c>
      <c r="F44">
        <f t="shared" si="1"/>
        <v>64640</v>
      </c>
      <c r="G44" s="10">
        <f t="shared" si="6"/>
        <v>-9.6000000485219061E-4</v>
      </c>
      <c r="K44" s="19">
        <f>+C44-(C$7+F44*C$8)</f>
        <v>-9.6000000485219061E-4</v>
      </c>
      <c r="N44" s="10">
        <f t="shared" ca="1" si="5"/>
        <v>3.722093830853368E-3</v>
      </c>
      <c r="P44" s="14">
        <f t="shared" si="3"/>
        <v>40708.297599999998</v>
      </c>
      <c r="Q44" s="10">
        <f t="shared" ca="1" si="4"/>
        <v>2.192200268635199E-5</v>
      </c>
    </row>
    <row r="45" spans="1:21" x14ac:dyDescent="0.2">
      <c r="A45" s="76" t="s">
        <v>79</v>
      </c>
      <c r="B45" s="30" t="s">
        <v>34</v>
      </c>
      <c r="C45" s="88">
        <v>56001.620199999998</v>
      </c>
      <c r="D45" s="77">
        <v>1.6000000000000001E-3</v>
      </c>
      <c r="E45" s="12">
        <f t="shared" si="0"/>
        <v>65929.007898538475</v>
      </c>
      <c r="F45">
        <f t="shared" si="1"/>
        <v>65929</v>
      </c>
      <c r="G45" s="10">
        <f t="shared" si="6"/>
        <v>1.6839999952935614E-3</v>
      </c>
      <c r="J45" s="10">
        <f>G45</f>
        <v>1.6839999952935614E-3</v>
      </c>
      <c r="N45" s="10">
        <f t="shared" ca="1" si="5"/>
        <v>-8.8339245677510059E-4</v>
      </c>
      <c r="P45" s="14">
        <f t="shared" si="3"/>
        <v>40983.120199999998</v>
      </c>
      <c r="Q45" s="10">
        <f t="shared" ca="1" si="4"/>
        <v>6.591504002939137E-6</v>
      </c>
    </row>
    <row r="46" spans="1:21" x14ac:dyDescent="0.2">
      <c r="A46" s="76" t="s">
        <v>79</v>
      </c>
      <c r="B46" s="30" t="s">
        <v>34</v>
      </c>
      <c r="C46" s="88">
        <v>56006.525500000003</v>
      </c>
      <c r="D46" s="77">
        <v>1.9E-3</v>
      </c>
      <c r="E46" s="12">
        <f t="shared" si="0"/>
        <v>65952.015440610878</v>
      </c>
      <c r="F46">
        <f t="shared" si="1"/>
        <v>65952</v>
      </c>
      <c r="G46" s="10">
        <f t="shared" si="6"/>
        <v>3.2920000012381934E-3</v>
      </c>
      <c r="J46" s="10">
        <f>G46</f>
        <v>3.2920000012381934E-3</v>
      </c>
      <c r="N46" s="10">
        <f t="shared" ca="1" si="5"/>
        <v>-9.6556948130221976E-4</v>
      </c>
      <c r="P46" s="14">
        <f t="shared" si="3"/>
        <v>40988.025500000003</v>
      </c>
      <c r="Q46" s="10">
        <f t="shared" ca="1" si="4"/>
        <v>1.8126897898659442E-5</v>
      </c>
    </row>
    <row r="47" spans="1:21" x14ac:dyDescent="0.2">
      <c r="A47" s="78" t="s">
        <v>78</v>
      </c>
      <c r="B47" s="26"/>
      <c r="C47" s="88">
        <v>56024.852863638371</v>
      </c>
      <c r="D47" s="79">
        <v>2.9999999999999997E-4</v>
      </c>
      <c r="E47" s="12">
        <f t="shared" si="0"/>
        <v>66037.977071904694</v>
      </c>
      <c r="F47">
        <f t="shared" si="1"/>
        <v>66038</v>
      </c>
      <c r="G47" s="10">
        <f t="shared" si="6"/>
        <v>-4.8883616327657364E-3</v>
      </c>
      <c r="K47" s="10">
        <f>+G47</f>
        <v>-4.8883616327657364E-3</v>
      </c>
      <c r="L47" s="10">
        <f>G47</f>
        <v>-4.8883616327657364E-3</v>
      </c>
      <c r="N47" s="10">
        <f t="shared" ca="1" si="5"/>
        <v>-1.272840094751454E-3</v>
      </c>
      <c r="P47" s="14">
        <f t="shared" si="3"/>
        <v>41006.352863638371</v>
      </c>
      <c r="Q47" s="10">
        <f t="shared" ca="1" si="4"/>
        <v>1.3071995991845162E-5</v>
      </c>
    </row>
    <row r="48" spans="1:21" x14ac:dyDescent="0.2">
      <c r="A48" s="76" t="s">
        <v>79</v>
      </c>
      <c r="B48" s="30" t="s">
        <v>33</v>
      </c>
      <c r="C48" s="88">
        <v>56055.554799999998</v>
      </c>
      <c r="D48" s="77">
        <v>1.4E-3</v>
      </c>
      <c r="E48" s="12">
        <f t="shared" si="0"/>
        <v>66181.979700193231</v>
      </c>
      <c r="F48">
        <f t="shared" si="1"/>
        <v>66182</v>
      </c>
      <c r="G48" s="10">
        <f t="shared" si="6"/>
        <v>-4.328000002715271E-3</v>
      </c>
      <c r="J48" s="10">
        <f>G48</f>
        <v>-4.328000002715271E-3</v>
      </c>
      <c r="N48" s="10">
        <f t="shared" ca="1" si="5"/>
        <v>-1.7873397265734114E-3</v>
      </c>
      <c r="P48" s="14">
        <f t="shared" si="3"/>
        <v>41037.054799999998</v>
      </c>
      <c r="Q48" s="10">
        <f t="shared" ca="1" si="4"/>
        <v>6.4549546387652299E-6</v>
      </c>
    </row>
    <row r="49" spans="1:17" x14ac:dyDescent="0.2">
      <c r="A49" s="77" t="s">
        <v>80</v>
      </c>
      <c r="B49" s="30" t="s">
        <v>34</v>
      </c>
      <c r="C49" s="88">
        <v>56489.419000000002</v>
      </c>
      <c r="D49" s="77">
        <v>8.9999999999999998E-4</v>
      </c>
      <c r="E49" s="12">
        <f t="shared" si="0"/>
        <v>68216.951839552727</v>
      </c>
      <c r="F49">
        <f t="shared" si="1"/>
        <v>68217</v>
      </c>
      <c r="G49" s="10">
        <f t="shared" si="6"/>
        <v>-1.0267999998177402E-2</v>
      </c>
      <c r="J49" s="10">
        <f>G49</f>
        <v>-1.0267999998177402E-2</v>
      </c>
      <c r="N49" s="10">
        <f t="shared" ca="1" si="5"/>
        <v>-9.0582199401683938E-3</v>
      </c>
      <c r="P49" s="14">
        <f t="shared" si="3"/>
        <v>41470.919000000002</v>
      </c>
      <c r="Q49" s="10">
        <f t="shared" ca="1" si="4"/>
        <v>1.4635677887562785E-6</v>
      </c>
    </row>
    <row r="50" spans="1:17" x14ac:dyDescent="0.2">
      <c r="A50" s="80" t="s">
        <v>0</v>
      </c>
      <c r="B50" s="81" t="s">
        <v>34</v>
      </c>
      <c r="C50" s="89">
        <v>57462.467499999999</v>
      </c>
      <c r="D50" s="82">
        <v>2.9999999999999997E-4</v>
      </c>
      <c r="E50" s="12">
        <f t="shared" si="0"/>
        <v>72780.883566912424</v>
      </c>
      <c r="F50">
        <f t="shared" si="1"/>
        <v>72781</v>
      </c>
      <c r="G50" s="10">
        <f t="shared" si="6"/>
        <v>-2.4824000000080559E-2</v>
      </c>
      <c r="J50" s="10">
        <f>G50</f>
        <v>-2.4824000000080559E-2</v>
      </c>
      <c r="N50" s="10">
        <f t="shared" ca="1" si="5"/>
        <v>-2.5364999937636523E-2</v>
      </c>
      <c r="P50" s="14">
        <f t="shared" si="3"/>
        <v>42443.967499999999</v>
      </c>
      <c r="Q50" s="10">
        <f t="shared" ca="1" si="4"/>
        <v>2.9268093243555667E-7</v>
      </c>
    </row>
  </sheetData>
  <phoneticPr fontId="9" type="noConversion"/>
  <hyperlinks>
    <hyperlink ref="H196" r:id="rId1" display="http://vsolj.cetus-net.org/bulletin.html"/>
    <hyperlink ref="H189" r:id="rId2" display="http://vsolj.cetus-net.org/bulletin.html"/>
  </hyperlinks>
  <pageMargins left="0.75" right="0.75" top="1" bottom="1" header="0.5" footer="0.5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S45"/>
  <sheetViews>
    <sheetView workbookViewId="0">
      <selection activeCell="A4" sqref="A4"/>
    </sheetView>
  </sheetViews>
  <sheetFormatPr defaultColWidth="10.28515625" defaultRowHeight="12.75" x14ac:dyDescent="0.2"/>
  <cols>
    <col min="1" max="1" width="15.7109375" customWidth="1"/>
    <col min="2" max="2" width="4.140625" customWidth="1"/>
    <col min="3" max="3" width="11.85546875" style="10" customWidth="1"/>
    <col min="4" max="4" width="9.42578125" style="10" customWidth="1"/>
    <col min="5" max="5" width="9.140625" style="12" customWidth="1"/>
    <col min="6" max="6" width="9.140625" customWidth="1"/>
    <col min="7" max="7" width="8.140625" style="10" customWidth="1"/>
    <col min="8" max="14" width="8.5703125" style="10" customWidth="1"/>
    <col min="15" max="15" width="8" style="10" customWidth="1"/>
    <col min="16" max="16" width="7.7109375" style="10" customWidth="1"/>
    <col min="17" max="17" width="10.42578125" style="14" customWidth="1"/>
    <col min="18" max="18" width="9.140625" style="13" customWidth="1"/>
    <col min="19" max="19" width="18.7109375" style="13" bestFit="1" customWidth="1"/>
  </cols>
  <sheetData>
    <row r="1" spans="1:19" ht="20.25" x14ac:dyDescent="0.3">
      <c r="A1" s="1" t="s">
        <v>62</v>
      </c>
      <c r="B1" s="1"/>
      <c r="D1"/>
      <c r="E1"/>
      <c r="G1"/>
      <c r="H1"/>
      <c r="I1"/>
      <c r="J1"/>
      <c r="K1"/>
      <c r="L1"/>
      <c r="M1"/>
      <c r="N1"/>
      <c r="O1"/>
      <c r="P1"/>
      <c r="Q1"/>
      <c r="R1"/>
      <c r="S1"/>
    </row>
    <row r="2" spans="1:19" x14ac:dyDescent="0.2">
      <c r="A2" t="s">
        <v>29</v>
      </c>
      <c r="B2" t="s">
        <v>31</v>
      </c>
      <c r="C2"/>
      <c r="D2"/>
      <c r="E2" t="s">
        <v>60</v>
      </c>
      <c r="F2" t="s">
        <v>61</v>
      </c>
      <c r="G2"/>
      <c r="H2"/>
      <c r="I2"/>
      <c r="J2"/>
      <c r="K2"/>
      <c r="L2"/>
      <c r="M2"/>
      <c r="N2"/>
      <c r="O2"/>
      <c r="P2"/>
      <c r="Q2"/>
      <c r="R2"/>
      <c r="S2"/>
    </row>
    <row r="3" spans="1:19" ht="13.5" thickBot="1" x14ac:dyDescent="0.25">
      <c r="C3" s="17" t="s">
        <v>54</v>
      </c>
      <c r="D3"/>
      <c r="E3"/>
      <c r="G3"/>
      <c r="H3"/>
      <c r="I3"/>
      <c r="J3"/>
      <c r="K3"/>
      <c r="L3"/>
      <c r="M3"/>
      <c r="N3"/>
      <c r="O3"/>
      <c r="P3"/>
      <c r="Q3"/>
      <c r="R3"/>
      <c r="S3"/>
    </row>
    <row r="4" spans="1:19" ht="14.25" thickTop="1" thickBot="1" x14ac:dyDescent="0.25">
      <c r="A4" s="7" t="s">
        <v>4</v>
      </c>
      <c r="B4" s="7"/>
      <c r="C4" s="2">
        <v>41945.292000000001</v>
      </c>
      <c r="D4" s="3">
        <v>0.54200000000000004</v>
      </c>
      <c r="E4"/>
      <c r="G4"/>
      <c r="H4"/>
      <c r="I4"/>
      <c r="J4"/>
      <c r="K4"/>
      <c r="L4"/>
      <c r="M4"/>
      <c r="N4"/>
      <c r="O4"/>
      <c r="P4"/>
      <c r="Q4"/>
      <c r="R4"/>
      <c r="S4"/>
    </row>
    <row r="5" spans="1:19" ht="13.5" thickTop="1" x14ac:dyDescent="0.2">
      <c r="C5"/>
      <c r="D5"/>
      <c r="E5"/>
      <c r="G5"/>
      <c r="H5"/>
      <c r="I5"/>
      <c r="J5"/>
      <c r="K5"/>
      <c r="L5"/>
      <c r="M5"/>
      <c r="N5"/>
      <c r="O5"/>
      <c r="P5"/>
      <c r="Q5"/>
      <c r="R5"/>
      <c r="S5"/>
    </row>
    <row r="6" spans="1:19" x14ac:dyDescent="0.2">
      <c r="A6" s="7" t="s">
        <v>5</v>
      </c>
      <c r="B6" s="7"/>
      <c r="C6"/>
      <c r="D6"/>
      <c r="E6"/>
      <c r="G6"/>
      <c r="H6"/>
      <c r="I6"/>
      <c r="J6"/>
      <c r="K6"/>
      <c r="L6"/>
      <c r="M6"/>
      <c r="N6"/>
      <c r="O6"/>
      <c r="P6"/>
      <c r="Q6"/>
      <c r="R6"/>
      <c r="S6"/>
    </row>
    <row r="7" spans="1:19" x14ac:dyDescent="0.2">
      <c r="A7" t="s">
        <v>6</v>
      </c>
      <c r="C7" s="10">
        <v>41945.292000000001</v>
      </c>
      <c r="D7"/>
      <c r="E7"/>
      <c r="G7"/>
      <c r="H7"/>
      <c r="I7"/>
      <c r="J7"/>
      <c r="K7"/>
      <c r="L7"/>
      <c r="M7"/>
      <c r="N7"/>
      <c r="O7"/>
      <c r="P7"/>
      <c r="Q7"/>
      <c r="R7"/>
      <c r="S7"/>
    </row>
    <row r="8" spans="1:19" x14ac:dyDescent="0.2">
      <c r="A8" t="s">
        <v>7</v>
      </c>
      <c r="C8" s="15">
        <v>0.54199609000000004</v>
      </c>
      <c r="D8"/>
      <c r="E8"/>
      <c r="G8"/>
      <c r="H8"/>
      <c r="I8"/>
      <c r="J8"/>
      <c r="K8"/>
      <c r="L8"/>
      <c r="M8"/>
      <c r="N8"/>
      <c r="O8"/>
      <c r="P8"/>
      <c r="Q8"/>
      <c r="R8"/>
      <c r="S8"/>
    </row>
    <row r="9" spans="1:19" x14ac:dyDescent="0.2">
      <c r="A9" s="24" t="s">
        <v>46</v>
      </c>
      <c r="C9" s="25">
        <f>SUM(R22:R33)</f>
        <v>3.9533276616432224E-2</v>
      </c>
      <c r="E9" s="10" t="s">
        <v>52</v>
      </c>
      <c r="F9" s="10">
        <f>SQRT(C9)/COUNT(R21:R34)</f>
        <v>1.5294597533335081E-2</v>
      </c>
      <c r="G9" t="s">
        <v>53</v>
      </c>
      <c r="H9"/>
      <c r="I9"/>
      <c r="J9"/>
      <c r="K9"/>
      <c r="L9"/>
      <c r="M9"/>
      <c r="N9"/>
      <c r="O9"/>
      <c r="P9"/>
      <c r="Q9"/>
      <c r="R9"/>
      <c r="S9"/>
    </row>
    <row r="10" spans="1:19" ht="13.5" thickBot="1" x14ac:dyDescent="0.25">
      <c r="C10" s="6" t="s">
        <v>24</v>
      </c>
      <c r="D10" s="6" t="s">
        <v>25</v>
      </c>
      <c r="E10"/>
      <c r="G10"/>
      <c r="H10"/>
      <c r="I10"/>
      <c r="J10"/>
      <c r="K10"/>
      <c r="L10"/>
      <c r="M10"/>
      <c r="N10"/>
      <c r="O10"/>
      <c r="P10"/>
      <c r="Q10"/>
      <c r="R10"/>
      <c r="S10"/>
    </row>
    <row r="11" spans="1:19" x14ac:dyDescent="0.2">
      <c r="A11" t="s">
        <v>20</v>
      </c>
      <c r="C11">
        <f>INTERCEPT(G21:G992,F21:F992)</f>
        <v>2.5281185712279677E-2</v>
      </c>
      <c r="D11" s="5"/>
      <c r="E11"/>
      <c r="G11"/>
      <c r="H11"/>
      <c r="I11"/>
      <c r="J11"/>
      <c r="K11"/>
      <c r="L11"/>
      <c r="M11"/>
      <c r="N11"/>
      <c r="O11"/>
      <c r="P11"/>
      <c r="Q11"/>
      <c r="R11"/>
      <c r="S11"/>
    </row>
    <row r="12" spans="1:19" x14ac:dyDescent="0.2">
      <c r="A12" t="s">
        <v>21</v>
      </c>
      <c r="C12">
        <f>SLOPE(G21:G992,F21:F992)</f>
        <v>-3.2729594049732184E-6</v>
      </c>
      <c r="D12" s="5"/>
      <c r="E12"/>
      <c r="G12"/>
      <c r="H12"/>
      <c r="I12"/>
      <c r="J12"/>
      <c r="K12"/>
      <c r="L12"/>
      <c r="M12"/>
      <c r="N12"/>
      <c r="O12"/>
      <c r="P12"/>
      <c r="Q12"/>
      <c r="R12"/>
      <c r="S12"/>
    </row>
    <row r="13" spans="1:19" x14ac:dyDescent="0.2">
      <c r="A13" t="s">
        <v>23</v>
      </c>
      <c r="C13" s="5" t="s">
        <v>18</v>
      </c>
      <c r="D13" s="5"/>
      <c r="E13"/>
      <c r="G13"/>
      <c r="H13"/>
      <c r="I13"/>
      <c r="J13"/>
      <c r="K13"/>
      <c r="L13"/>
      <c r="M13"/>
      <c r="N13"/>
      <c r="O13"/>
      <c r="P13"/>
      <c r="Q13"/>
      <c r="R13"/>
      <c r="S13"/>
    </row>
    <row r="14" spans="1:19" x14ac:dyDescent="0.2">
      <c r="A14" t="s">
        <v>28</v>
      </c>
      <c r="C14"/>
      <c r="D14"/>
      <c r="E14"/>
      <c r="G14"/>
      <c r="H14"/>
      <c r="I14"/>
      <c r="J14"/>
      <c r="K14"/>
      <c r="L14"/>
      <c r="M14"/>
      <c r="N14"/>
      <c r="O14"/>
      <c r="P14"/>
      <c r="Q14"/>
      <c r="R14"/>
      <c r="S14"/>
    </row>
    <row r="15" spans="1:19" x14ac:dyDescent="0.2">
      <c r="A15" s="4" t="s">
        <v>22</v>
      </c>
      <c r="B15" s="4"/>
      <c r="C15" s="28">
        <f>(C7+C11)+(C8+C12)*INT(MAX(F21:F3533))</f>
        <v>53847.479543397181</v>
      </c>
      <c r="D15">
        <f>MAX(C21:C43)</f>
        <v>53847.422400000003</v>
      </c>
      <c r="E15"/>
      <c r="G15"/>
      <c r="H15"/>
      <c r="I15"/>
      <c r="J15"/>
      <c r="K15"/>
      <c r="L15"/>
      <c r="M15"/>
      <c r="N15"/>
      <c r="O15"/>
      <c r="P15"/>
      <c r="Q15"/>
      <c r="R15"/>
      <c r="S15"/>
    </row>
    <row r="16" spans="1:19" x14ac:dyDescent="0.2">
      <c r="A16" s="7" t="s">
        <v>8</v>
      </c>
      <c r="B16" s="7"/>
      <c r="C16" s="36">
        <f>+C8+C12</f>
        <v>0.5419928170405951</v>
      </c>
      <c r="D16">
        <f>+C$8+D$12+2*D$13*MAX(G21:G43)</f>
        <v>0.54199609000000004</v>
      </c>
      <c r="E16"/>
      <c r="G16"/>
      <c r="H16"/>
      <c r="I16"/>
      <c r="J16"/>
      <c r="K16"/>
      <c r="L16"/>
      <c r="M16"/>
      <c r="N16"/>
      <c r="O16"/>
      <c r="P16"/>
      <c r="Q16"/>
      <c r="R16"/>
      <c r="S16"/>
    </row>
    <row r="17" spans="1:19" ht="13.5" thickBot="1" x14ac:dyDescent="0.25">
      <c r="A17" s="37" t="s">
        <v>57</v>
      </c>
      <c r="C17">
        <f>COUNT(C21:C2191)</f>
        <v>18</v>
      </c>
      <c r="D17"/>
      <c r="E17"/>
      <c r="G17"/>
      <c r="H17"/>
      <c r="I17"/>
      <c r="J17"/>
      <c r="K17"/>
      <c r="L17"/>
      <c r="M17"/>
      <c r="N17"/>
      <c r="O17"/>
      <c r="P17"/>
      <c r="Q17"/>
      <c r="R17"/>
      <c r="S17"/>
    </row>
    <row r="18" spans="1:19" ht="14.25" thickTop="1" thickBot="1" x14ac:dyDescent="0.25">
      <c r="A18" s="7" t="s">
        <v>9</v>
      </c>
      <c r="B18" s="7"/>
      <c r="C18" s="2">
        <f>+C15</f>
        <v>53847.479543397181</v>
      </c>
      <c r="D18" s="3">
        <f>+C16</f>
        <v>0.5419928170405951</v>
      </c>
      <c r="E18"/>
      <c r="G18"/>
      <c r="H18"/>
      <c r="I18"/>
      <c r="J18"/>
      <c r="K18"/>
      <c r="L18"/>
      <c r="M18"/>
      <c r="N18"/>
      <c r="O18"/>
      <c r="P18"/>
      <c r="Q18" t="s">
        <v>59</v>
      </c>
      <c r="R18" s="10">
        <f>SUM(R22:R38)</f>
        <v>6.4110164175243151E-2</v>
      </c>
      <c r="S18"/>
    </row>
    <row r="19" spans="1:19" ht="13.5" thickTop="1" x14ac:dyDescent="0.2">
      <c r="C19"/>
      <c r="D19"/>
      <c r="E19"/>
      <c r="G19"/>
      <c r="H19"/>
      <c r="I19"/>
      <c r="J19"/>
      <c r="K19"/>
      <c r="L19"/>
      <c r="M19"/>
      <c r="N19"/>
      <c r="O19"/>
      <c r="P19"/>
      <c r="Q19"/>
      <c r="R19"/>
      <c r="S19"/>
    </row>
    <row r="20" spans="1:19" ht="13.5" thickBot="1" x14ac:dyDescent="0.25">
      <c r="A20" s="6" t="s">
        <v>10</v>
      </c>
      <c r="B20" s="6" t="s">
        <v>11</v>
      </c>
      <c r="C20" s="6" t="s">
        <v>12</v>
      </c>
      <c r="D20" s="6" t="s">
        <v>17</v>
      </c>
      <c r="E20" s="6" t="s">
        <v>13</v>
      </c>
      <c r="F20" s="6" t="s">
        <v>14</v>
      </c>
      <c r="G20" s="6" t="s">
        <v>15</v>
      </c>
      <c r="H20" s="9" t="s">
        <v>16</v>
      </c>
      <c r="I20" s="9" t="s">
        <v>35</v>
      </c>
      <c r="J20" s="9" t="s">
        <v>38</v>
      </c>
      <c r="K20" s="9" t="s">
        <v>39</v>
      </c>
      <c r="L20" s="9" t="s">
        <v>50</v>
      </c>
      <c r="M20" s="9" t="s">
        <v>51</v>
      </c>
      <c r="N20" s="9" t="s">
        <v>42</v>
      </c>
      <c r="O20" s="9" t="s">
        <v>27</v>
      </c>
      <c r="P20" s="8" t="s">
        <v>26</v>
      </c>
      <c r="Q20" s="6" t="s">
        <v>19</v>
      </c>
      <c r="R20" s="23" t="s">
        <v>45</v>
      </c>
      <c r="S20"/>
    </row>
    <row r="21" spans="1:19" x14ac:dyDescent="0.2">
      <c r="A21" t="s">
        <v>16</v>
      </c>
      <c r="B21" s="30"/>
      <c r="C21" s="10">
        <f>+C4</f>
        <v>41945.292000000001</v>
      </c>
      <c r="D21" s="11" t="s">
        <v>18</v>
      </c>
      <c r="E21" s="12">
        <f>+(C21-C$7)/C$8</f>
        <v>0</v>
      </c>
      <c r="F21">
        <f>ROUND(2*E21,0)/2</f>
        <v>0</v>
      </c>
      <c r="G21" s="10">
        <f>+C21-(C$7+F21*C$8)</f>
        <v>0</v>
      </c>
      <c r="H21" s="10">
        <f>+G21</f>
        <v>0</v>
      </c>
      <c r="O21" s="10">
        <f>+C$11+C$12*F21</f>
        <v>2.5281185712279677E-2</v>
      </c>
      <c r="Q21" s="14">
        <f>+C21-15018.5</f>
        <v>26926.792000000001</v>
      </c>
    </row>
    <row r="22" spans="1:19" x14ac:dyDescent="0.2">
      <c r="A22" t="s">
        <v>32</v>
      </c>
      <c r="B22" s="30" t="s">
        <v>33</v>
      </c>
      <c r="C22" s="34">
        <v>51243.988499999999</v>
      </c>
      <c r="D22" s="11">
        <v>1.5E-3</v>
      </c>
      <c r="E22" s="12">
        <f t="shared" ref="E22:E38" si="0">+(C22-C$7)/C$8</f>
        <v>17156.390371746034</v>
      </c>
      <c r="F22">
        <f t="shared" ref="F22:F38" si="1">ROUND(2*E22,0)/2</f>
        <v>17156.5</v>
      </c>
      <c r="J22" s="10">
        <f>+C22-(C$7+F22*C$8)</f>
        <v>-5.9418085002107546E-2</v>
      </c>
      <c r="O22" s="10">
        <f t="shared" ref="O22:O38" si="2">+C$11+C$12*F22</f>
        <v>-3.0871342319143347E-2</v>
      </c>
      <c r="Q22" s="14">
        <f t="shared" ref="Q22:Q38" si="3">+C22-15018.5</f>
        <v>36225.488499999999</v>
      </c>
      <c r="R22" s="10">
        <f t="shared" ref="R22:R38" si="4">+(O22-G22)^2</f>
        <v>9.5303977658573087E-4</v>
      </c>
    </row>
    <row r="23" spans="1:19" x14ac:dyDescent="0.2">
      <c r="A23" t="s">
        <v>35</v>
      </c>
      <c r="B23" s="30" t="s">
        <v>36</v>
      </c>
      <c r="C23" s="10">
        <v>51275.214</v>
      </c>
      <c r="D23" s="11"/>
      <c r="E23" s="12">
        <f t="shared" si="0"/>
        <v>17214.002410976798</v>
      </c>
      <c r="F23">
        <f t="shared" si="1"/>
        <v>17214</v>
      </c>
      <c r="G23" s="10">
        <f t="shared" ref="G23:G38" si="5">+C23-(C$7+F23*C$8)</f>
        <v>1.3067399995634332E-3</v>
      </c>
      <c r="I23" s="10">
        <f>+G23</f>
        <v>1.3067399995634332E-3</v>
      </c>
      <c r="O23" s="10">
        <f t="shared" si="2"/>
        <v>-3.1059537484929303E-2</v>
      </c>
      <c r="Q23" s="14">
        <f t="shared" si="3"/>
        <v>36256.714</v>
      </c>
      <c r="R23" s="10">
        <f t="shared" si="4"/>
        <v>1.0475759182031815E-3</v>
      </c>
      <c r="S23" s="16"/>
    </row>
    <row r="24" spans="1:19" x14ac:dyDescent="0.2">
      <c r="A24" s="26" t="s">
        <v>35</v>
      </c>
      <c r="B24" s="30" t="s">
        <v>34</v>
      </c>
      <c r="C24" s="10">
        <v>51275.756000000001</v>
      </c>
      <c r="D24" s="11"/>
      <c r="E24" s="12">
        <f t="shared" si="0"/>
        <v>17215.002418190874</v>
      </c>
      <c r="F24">
        <f t="shared" si="1"/>
        <v>17215</v>
      </c>
      <c r="G24" s="10">
        <f t="shared" si="5"/>
        <v>1.3106499973218888E-3</v>
      </c>
      <c r="I24" s="10">
        <f>G24</f>
        <v>1.3106499973218888E-3</v>
      </c>
      <c r="O24" s="10">
        <f t="shared" si="2"/>
        <v>-3.1062810444334274E-2</v>
      </c>
      <c r="Q24" s="14">
        <f t="shared" si="3"/>
        <v>36257.256000000001</v>
      </c>
      <c r="R24" s="10">
        <f t="shared" si="4"/>
        <v>1.0480409409674763E-3</v>
      </c>
    </row>
    <row r="25" spans="1:19" x14ac:dyDescent="0.2">
      <c r="A25" s="26" t="s">
        <v>35</v>
      </c>
      <c r="B25" s="30" t="s">
        <v>33</v>
      </c>
      <c r="C25" s="10">
        <v>51275.9692</v>
      </c>
      <c r="D25" s="11"/>
      <c r="E25" s="12">
        <f t="shared" si="0"/>
        <v>17215.395778962164</v>
      </c>
      <c r="F25">
        <f t="shared" si="1"/>
        <v>17215.5</v>
      </c>
      <c r="G25" s="10">
        <f t="shared" si="5"/>
        <v>-5.6487394998839591E-2</v>
      </c>
      <c r="I25" s="10">
        <f>G25</f>
        <v>-5.6487394998839591E-2</v>
      </c>
      <c r="O25" s="10">
        <f t="shared" si="2"/>
        <v>-3.1064446924036766E-2</v>
      </c>
      <c r="Q25" s="14">
        <f t="shared" si="3"/>
        <v>36257.4692</v>
      </c>
      <c r="R25" s="10">
        <f t="shared" si="4"/>
        <v>6.4632628881412064E-4</v>
      </c>
    </row>
    <row r="26" spans="1:19" x14ac:dyDescent="0.2">
      <c r="A26" s="26" t="s">
        <v>32</v>
      </c>
      <c r="B26" s="30" t="s">
        <v>34</v>
      </c>
      <c r="C26" s="10">
        <v>51310.718399999998</v>
      </c>
      <c r="D26" s="11">
        <v>8.9999999999999998E-4</v>
      </c>
      <c r="E26" s="12">
        <f t="shared" si="0"/>
        <v>17279.50915660664</v>
      </c>
      <c r="F26">
        <f t="shared" si="1"/>
        <v>17279.5</v>
      </c>
      <c r="G26" s="10">
        <f t="shared" si="5"/>
        <v>4.962844992405735E-3</v>
      </c>
      <c r="J26" s="10">
        <f>+G26</f>
        <v>4.962844992405735E-3</v>
      </c>
      <c r="O26" s="10">
        <f t="shared" si="2"/>
        <v>-3.1273916325955047E-2</v>
      </c>
      <c r="Q26" s="14">
        <f t="shared" si="3"/>
        <v>36292.218399999998</v>
      </c>
      <c r="R26" s="10">
        <f t="shared" si="4"/>
        <v>1.3131028708438482E-3</v>
      </c>
      <c r="S26" s="16"/>
    </row>
    <row r="27" spans="1:19" x14ac:dyDescent="0.2">
      <c r="A27" s="26" t="s">
        <v>35</v>
      </c>
      <c r="B27" s="30" t="s">
        <v>37</v>
      </c>
      <c r="C27" s="10">
        <v>51349.731</v>
      </c>
      <c r="D27" s="11"/>
      <c r="E27" s="12">
        <f t="shared" si="0"/>
        <v>17351.488642657918</v>
      </c>
      <c r="F27">
        <f t="shared" si="1"/>
        <v>17351.5</v>
      </c>
      <c r="G27" s="10">
        <f t="shared" si="5"/>
        <v>-6.15563500468852E-3</v>
      </c>
      <c r="I27" s="10">
        <f>+G27</f>
        <v>-6.15563500468852E-3</v>
      </c>
      <c r="O27" s="10">
        <f t="shared" si="2"/>
        <v>-3.150956940311312E-2</v>
      </c>
      <c r="Q27" s="14">
        <f t="shared" si="3"/>
        <v>36331.231</v>
      </c>
      <c r="R27" s="10">
        <f t="shared" si="4"/>
        <v>6.4282198947961816E-4</v>
      </c>
      <c r="S27" s="16"/>
    </row>
    <row r="28" spans="1:19" x14ac:dyDescent="0.2">
      <c r="A28" s="26" t="s">
        <v>40</v>
      </c>
      <c r="B28" s="30" t="s">
        <v>33</v>
      </c>
      <c r="C28" s="10">
        <v>52426.4162</v>
      </c>
      <c r="D28" s="11"/>
      <c r="E28" s="12">
        <f t="shared" si="0"/>
        <v>19338.007032486152</v>
      </c>
      <c r="F28">
        <f t="shared" si="1"/>
        <v>19338</v>
      </c>
      <c r="G28" s="10">
        <f t="shared" si="5"/>
        <v>3.8115799980005249E-3</v>
      </c>
      <c r="K28" s="10">
        <f>G28</f>
        <v>3.8115799980005249E-3</v>
      </c>
      <c r="O28" s="10">
        <f t="shared" si="2"/>
        <v>-3.8011303261092422E-2</v>
      </c>
      <c r="Q28" s="14">
        <f t="shared" si="3"/>
        <v>37407.9162</v>
      </c>
      <c r="R28" s="10">
        <f t="shared" si="4"/>
        <v>1.7491535641037171E-3</v>
      </c>
    </row>
    <row r="29" spans="1:19" x14ac:dyDescent="0.2">
      <c r="A29" s="29" t="s">
        <v>44</v>
      </c>
      <c r="B29" s="20" t="s">
        <v>34</v>
      </c>
      <c r="C29" s="21">
        <v>53114.851999999999</v>
      </c>
      <c r="D29" s="22">
        <v>4.0000000000000002E-4</v>
      </c>
      <c r="E29" s="12">
        <f t="shared" si="0"/>
        <v>20608.192948402997</v>
      </c>
      <c r="F29">
        <f t="shared" si="1"/>
        <v>20608</v>
      </c>
      <c r="G29" s="10">
        <f t="shared" si="5"/>
        <v>0.10457727999892086</v>
      </c>
      <c r="J29" s="10">
        <f>G29</f>
        <v>0.10457727999892086</v>
      </c>
      <c r="O29" s="10">
        <f t="shared" si="2"/>
        <v>-4.2167961705408402E-2</v>
      </c>
      <c r="Q29" s="14">
        <f t="shared" si="3"/>
        <v>38096.351999999999</v>
      </c>
      <c r="R29" s="10">
        <f t="shared" si="4"/>
        <v>2.1534165962862017E-2</v>
      </c>
    </row>
    <row r="30" spans="1:19" x14ac:dyDescent="0.2">
      <c r="A30" s="35" t="s">
        <v>56</v>
      </c>
      <c r="B30" s="20"/>
      <c r="C30" s="31">
        <v>53117.409899999999</v>
      </c>
      <c r="D30" s="31">
        <v>1.8E-3</v>
      </c>
      <c r="E30" s="12">
        <f t="shared" si="0"/>
        <v>20612.912355142631</v>
      </c>
      <c r="F30">
        <f t="shared" si="1"/>
        <v>20613</v>
      </c>
      <c r="G30" s="10">
        <f t="shared" si="5"/>
        <v>-4.7503170004347339E-2</v>
      </c>
      <c r="J30" s="10">
        <f>G30</f>
        <v>-4.7503170004347339E-2</v>
      </c>
      <c r="O30" s="10">
        <f t="shared" si="2"/>
        <v>-4.218432650243327E-2</v>
      </c>
      <c r="Q30" s="14">
        <f t="shared" si="3"/>
        <v>38098.909899999999</v>
      </c>
      <c r="R30" s="10">
        <f t="shared" si="4"/>
        <v>2.8290096197853521E-5</v>
      </c>
    </row>
    <row r="31" spans="1:19" x14ac:dyDescent="0.2">
      <c r="A31" s="31" t="s">
        <v>49</v>
      </c>
      <c r="B31" s="30" t="s">
        <v>33</v>
      </c>
      <c r="C31" s="10">
        <v>53123.380499999999</v>
      </c>
      <c r="D31" s="11">
        <v>6.9999999999999999E-4</v>
      </c>
      <c r="E31" s="12">
        <f t="shared" si="0"/>
        <v>20623.928301770586</v>
      </c>
      <c r="F31">
        <f t="shared" si="1"/>
        <v>20624</v>
      </c>
      <c r="G31" s="10">
        <f t="shared" si="5"/>
        <v>-3.8860159998876043E-2</v>
      </c>
      <c r="K31" s="10">
        <f>G31</f>
        <v>-3.8860159998876043E-2</v>
      </c>
      <c r="O31" s="10">
        <f t="shared" si="2"/>
        <v>-4.2220329055887976E-2</v>
      </c>
      <c r="Q31" s="14">
        <f t="shared" si="3"/>
        <v>38104.880499999999</v>
      </c>
      <c r="R31" s="10">
        <f t="shared" si="4"/>
        <v>1.1290736091700463E-5</v>
      </c>
      <c r="S31" s="16"/>
    </row>
    <row r="32" spans="1:19" x14ac:dyDescent="0.2">
      <c r="A32" s="27" t="s">
        <v>39</v>
      </c>
      <c r="B32" s="30" t="s">
        <v>34</v>
      </c>
      <c r="C32" s="10">
        <v>53265.59</v>
      </c>
      <c r="D32" s="11"/>
      <c r="E32" s="12">
        <f t="shared" si="0"/>
        <v>20886.309345884754</v>
      </c>
      <c r="F32">
        <f t="shared" si="1"/>
        <v>20886.5</v>
      </c>
      <c r="G32" s="10">
        <f t="shared" si="5"/>
        <v>-0.103333785009454</v>
      </c>
      <c r="K32" s="10">
        <f>G32</f>
        <v>-0.103333785009454</v>
      </c>
      <c r="O32" s="10">
        <f t="shared" si="2"/>
        <v>-4.3079480899693448E-2</v>
      </c>
      <c r="Q32" s="14">
        <f t="shared" si="3"/>
        <v>38247.089999999997</v>
      </c>
      <c r="R32" s="10">
        <f t="shared" si="4"/>
        <v>3.6305811637515079E-3</v>
      </c>
    </row>
    <row r="33" spans="1:18" x14ac:dyDescent="0.2">
      <c r="A33" s="27" t="s">
        <v>39</v>
      </c>
      <c r="B33" s="30" t="s">
        <v>34</v>
      </c>
      <c r="C33" s="10">
        <v>53266.650999999998</v>
      </c>
      <c r="D33" s="11"/>
      <c r="E33" s="12">
        <f t="shared" si="0"/>
        <v>20888.266924582418</v>
      </c>
      <c r="F33">
        <f t="shared" si="1"/>
        <v>20888.5</v>
      </c>
      <c r="G33" s="10">
        <f t="shared" si="5"/>
        <v>-0.12632596500043292</v>
      </c>
      <c r="K33" s="10">
        <f>G33</f>
        <v>-0.12632596500043292</v>
      </c>
      <c r="O33" s="10">
        <f t="shared" si="2"/>
        <v>-4.308602681850339E-2</v>
      </c>
      <c r="Q33" s="14">
        <f t="shared" si="3"/>
        <v>38248.150999999998</v>
      </c>
      <c r="R33" s="10">
        <f t="shared" si="4"/>
        <v>6.9288873085314494E-3</v>
      </c>
    </row>
    <row r="34" spans="1:18" x14ac:dyDescent="0.2">
      <c r="A34" s="27" t="s">
        <v>39</v>
      </c>
      <c r="B34" s="30" t="s">
        <v>34</v>
      </c>
      <c r="C34" s="10">
        <v>53269.638099999996</v>
      </c>
      <c r="D34" s="11"/>
      <c r="E34" s="12">
        <f t="shared" si="0"/>
        <v>20893.778218953561</v>
      </c>
      <c r="F34">
        <f t="shared" si="1"/>
        <v>20894</v>
      </c>
      <c r="G34" s="10">
        <f t="shared" si="5"/>
        <v>-0.1202044600067893</v>
      </c>
      <c r="K34" s="10">
        <f>G34</f>
        <v>-0.1202044600067893</v>
      </c>
      <c r="O34" s="10">
        <f t="shared" si="2"/>
        <v>-4.3104028095230743E-2</v>
      </c>
      <c r="Q34" s="14">
        <f t="shared" si="3"/>
        <v>38251.138099999996</v>
      </c>
      <c r="R34" s="10">
        <f t="shared" si="4"/>
        <v>5.9444766009488781E-3</v>
      </c>
    </row>
    <row r="35" spans="1:18" x14ac:dyDescent="0.2">
      <c r="A35" s="32" t="s">
        <v>55</v>
      </c>
      <c r="B35" s="5"/>
      <c r="C35" s="10">
        <v>53499.897199999999</v>
      </c>
      <c r="D35" s="11">
        <v>1E-4</v>
      </c>
      <c r="E35" s="12">
        <f t="shared" si="0"/>
        <v>21318.613571548085</v>
      </c>
      <c r="F35">
        <f t="shared" si="1"/>
        <v>21318.5</v>
      </c>
      <c r="G35" s="10">
        <f t="shared" si="5"/>
        <v>6.1555334999866318E-2</v>
      </c>
      <c r="L35" s="10">
        <f>G35</f>
        <v>6.1555334999866318E-2</v>
      </c>
      <c r="O35" s="10">
        <f t="shared" si="2"/>
        <v>-4.4493399362641878E-2</v>
      </c>
      <c r="Q35" s="14">
        <f t="shared" si="3"/>
        <v>38481.397199999999</v>
      </c>
      <c r="R35" s="10">
        <f t="shared" si="4"/>
        <v>1.1246334059889826E-2</v>
      </c>
    </row>
    <row r="36" spans="1:18" x14ac:dyDescent="0.2">
      <c r="A36" s="22" t="s">
        <v>58</v>
      </c>
      <c r="B36" s="21"/>
      <c r="C36" s="31">
        <v>53515.460400000004</v>
      </c>
      <c r="D36" s="31">
        <v>1.6000000000000001E-3</v>
      </c>
      <c r="E36" s="12">
        <f t="shared" si="0"/>
        <v>21347.328169839751</v>
      </c>
      <c r="F36">
        <f t="shared" si="1"/>
        <v>21347.5</v>
      </c>
      <c r="G36" s="10">
        <f t="shared" si="5"/>
        <v>-9.3131274996267166E-2</v>
      </c>
      <c r="J36" s="10">
        <f>G36</f>
        <v>-9.3131274996267166E-2</v>
      </c>
      <c r="O36" s="10">
        <f t="shared" si="2"/>
        <v>-4.4588315185386099E-2</v>
      </c>
      <c r="Q36" s="14">
        <f t="shared" si="3"/>
        <v>38496.960400000004</v>
      </c>
      <c r="R36" s="10">
        <f t="shared" si="4"/>
        <v>2.3564189472008146E-3</v>
      </c>
    </row>
    <row r="37" spans="1:18" x14ac:dyDescent="0.2">
      <c r="A37" s="22" t="s">
        <v>58</v>
      </c>
      <c r="B37" s="21"/>
      <c r="C37" s="31">
        <v>53518.447899999999</v>
      </c>
      <c r="D37" s="31">
        <v>1.6000000000000001E-3</v>
      </c>
      <c r="E37" s="12">
        <f t="shared" si="0"/>
        <v>21352.840202223593</v>
      </c>
      <c r="F37">
        <f t="shared" si="1"/>
        <v>21353</v>
      </c>
      <c r="G37" s="10">
        <f t="shared" si="5"/>
        <v>-8.6609770005452447E-2</v>
      </c>
      <c r="J37" s="10">
        <f>G37</f>
        <v>-8.6609770005452447E-2</v>
      </c>
      <c r="O37" s="10">
        <f t="shared" si="2"/>
        <v>-4.4606316462113452E-2</v>
      </c>
      <c r="Q37" s="14">
        <f t="shared" si="3"/>
        <v>38499.947899999999</v>
      </c>
      <c r="R37" s="10">
        <f t="shared" si="4"/>
        <v>1.7642901095674371E-3</v>
      </c>
    </row>
    <row r="38" spans="1:18" x14ac:dyDescent="0.2">
      <c r="A38" s="22" t="s">
        <v>58</v>
      </c>
      <c r="B38" s="21"/>
      <c r="C38" s="31">
        <v>53847.422400000003</v>
      </c>
      <c r="D38" s="31">
        <v>1.8E-3</v>
      </c>
      <c r="E38" s="12">
        <f t="shared" si="0"/>
        <v>21959.808603047302</v>
      </c>
      <c r="F38">
        <f t="shared" si="1"/>
        <v>21960</v>
      </c>
      <c r="G38" s="10">
        <f t="shared" si="5"/>
        <v>-0.10373640000034356</v>
      </c>
      <c r="J38" s="10">
        <f>G38</f>
        <v>-0.10373640000034356</v>
      </c>
      <c r="O38" s="10">
        <f t="shared" si="2"/>
        <v>-4.6593002820932192E-2</v>
      </c>
      <c r="Q38" s="14">
        <f t="shared" si="3"/>
        <v>38828.922400000003</v>
      </c>
      <c r="R38" s="10">
        <f t="shared" si="4"/>
        <v>3.2653678412039597E-3</v>
      </c>
    </row>
    <row r="39" spans="1:18" x14ac:dyDescent="0.2">
      <c r="D39" s="11"/>
    </row>
    <row r="40" spans="1:18" x14ac:dyDescent="0.2">
      <c r="D40" s="11"/>
    </row>
    <row r="41" spans="1:18" x14ac:dyDescent="0.2">
      <c r="D41" s="11"/>
    </row>
    <row r="42" spans="1:18" x14ac:dyDescent="0.2">
      <c r="D42" s="11"/>
    </row>
    <row r="43" spans="1:18" x14ac:dyDescent="0.2">
      <c r="D43" s="11"/>
    </row>
    <row r="44" spans="1:18" x14ac:dyDescent="0.2">
      <c r="D44" s="11"/>
    </row>
    <row r="45" spans="1:18" x14ac:dyDescent="0.2">
      <c r="D45" s="11"/>
    </row>
  </sheetData>
  <sheetProtection sheet="1" objects="1" scenarios="1"/>
  <phoneticPr fontId="9" type="noConversion"/>
  <pageMargins left="0.75" right="0.75" top="1" bottom="1" header="0.5" footer="0.5"/>
  <pageSetup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R47"/>
  <sheetViews>
    <sheetView workbookViewId="0">
      <selection activeCell="P18" sqref="P18:Q18"/>
    </sheetView>
  </sheetViews>
  <sheetFormatPr defaultColWidth="10.28515625" defaultRowHeight="12.75" x14ac:dyDescent="0.2"/>
  <cols>
    <col min="1" max="1" width="15.7109375" customWidth="1"/>
    <col min="2" max="2" width="4.140625" customWidth="1"/>
    <col min="3" max="3" width="11.85546875" style="10" customWidth="1"/>
    <col min="4" max="4" width="11" style="10" customWidth="1"/>
    <col min="5" max="5" width="11.85546875" style="12" customWidth="1"/>
    <col min="6" max="6" width="9.140625" customWidth="1"/>
    <col min="7" max="7" width="8.140625" style="10" customWidth="1"/>
    <col min="8" max="13" width="8.5703125" style="10" customWidth="1"/>
    <col min="14" max="14" width="8" style="10" customWidth="1"/>
    <col min="15" max="15" width="7.7109375" style="10" customWidth="1"/>
    <col min="16" max="16" width="10.42578125" style="14" customWidth="1"/>
    <col min="17" max="17" width="9.140625" style="13" customWidth="1"/>
    <col min="18" max="18" width="18.7109375" style="13" bestFit="1" customWidth="1"/>
  </cols>
  <sheetData>
    <row r="1" spans="1:18" ht="20.25" x14ac:dyDescent="0.3">
      <c r="A1" s="1" t="s">
        <v>30</v>
      </c>
      <c r="B1" s="1"/>
      <c r="C1" s="17" t="s">
        <v>43</v>
      </c>
      <c r="D1"/>
      <c r="E1"/>
      <c r="G1"/>
      <c r="H1"/>
      <c r="I1"/>
      <c r="J1"/>
      <c r="K1"/>
      <c r="L1"/>
      <c r="M1"/>
      <c r="N1"/>
      <c r="O1"/>
      <c r="P1"/>
      <c r="Q1"/>
      <c r="R1"/>
    </row>
    <row r="2" spans="1:18" x14ac:dyDescent="0.2">
      <c r="A2" t="s">
        <v>29</v>
      </c>
      <c r="B2" t="s">
        <v>31</v>
      </c>
      <c r="C2"/>
      <c r="D2"/>
      <c r="E2"/>
      <c r="G2"/>
      <c r="H2"/>
      <c r="I2"/>
      <c r="J2"/>
      <c r="K2"/>
      <c r="L2"/>
      <c r="M2"/>
      <c r="N2"/>
      <c r="O2"/>
      <c r="P2"/>
      <c r="Q2"/>
      <c r="R2"/>
    </row>
    <row r="3" spans="1:18" ht="13.5" thickBot="1" x14ac:dyDescent="0.25">
      <c r="C3"/>
      <c r="D3"/>
      <c r="E3"/>
      <c r="G3"/>
      <c r="H3"/>
      <c r="I3"/>
      <c r="J3"/>
      <c r="K3"/>
      <c r="L3"/>
      <c r="M3"/>
      <c r="N3"/>
      <c r="O3"/>
      <c r="P3"/>
      <c r="Q3"/>
      <c r="R3"/>
    </row>
    <row r="4" spans="1:18" ht="14.25" thickTop="1" thickBot="1" x14ac:dyDescent="0.25">
      <c r="A4" s="7" t="s">
        <v>4</v>
      </c>
      <c r="B4" s="7"/>
      <c r="C4" s="2">
        <v>41945.292000000001</v>
      </c>
      <c r="D4" s="3">
        <v>0.54200000000000004</v>
      </c>
      <c r="E4"/>
      <c r="G4"/>
      <c r="H4"/>
      <c r="I4"/>
      <c r="J4"/>
      <c r="K4"/>
      <c r="L4"/>
      <c r="M4"/>
      <c r="N4"/>
      <c r="O4"/>
      <c r="P4"/>
      <c r="Q4"/>
      <c r="R4"/>
    </row>
    <row r="5" spans="1:18" ht="13.5" thickTop="1" x14ac:dyDescent="0.2">
      <c r="C5"/>
      <c r="D5"/>
      <c r="E5"/>
      <c r="G5"/>
      <c r="H5"/>
      <c r="I5"/>
      <c r="J5"/>
      <c r="K5"/>
      <c r="L5"/>
      <c r="M5"/>
      <c r="N5"/>
      <c r="O5"/>
      <c r="P5"/>
      <c r="Q5"/>
      <c r="R5"/>
    </row>
    <row r="6" spans="1:18" x14ac:dyDescent="0.2">
      <c r="A6" s="7" t="s">
        <v>5</v>
      </c>
      <c r="B6" s="7"/>
      <c r="C6"/>
      <c r="D6"/>
      <c r="E6"/>
      <c r="G6"/>
      <c r="H6"/>
      <c r="I6"/>
      <c r="J6"/>
      <c r="K6"/>
      <c r="L6"/>
      <c r="M6"/>
      <c r="N6"/>
      <c r="O6"/>
      <c r="P6"/>
      <c r="Q6"/>
      <c r="R6"/>
    </row>
    <row r="7" spans="1:18" x14ac:dyDescent="0.2">
      <c r="A7" t="s">
        <v>6</v>
      </c>
      <c r="C7" s="10">
        <v>41945.292000000001</v>
      </c>
      <c r="D7" s="17" t="s">
        <v>47</v>
      </c>
      <c r="G7"/>
      <c r="H7"/>
      <c r="I7"/>
      <c r="J7"/>
      <c r="K7"/>
      <c r="L7"/>
      <c r="M7"/>
      <c r="N7"/>
      <c r="O7"/>
      <c r="P7">
        <v>41945.292000000001</v>
      </c>
      <c r="Q7">
        <v>41945.292000000001</v>
      </c>
      <c r="R7"/>
    </row>
    <row r="8" spans="1:18" x14ac:dyDescent="0.2">
      <c r="A8" t="s">
        <v>7</v>
      </c>
      <c r="C8" s="15">
        <v>0.49997900000000001</v>
      </c>
      <c r="D8" s="17" t="s">
        <v>48</v>
      </c>
      <c r="E8" s="15"/>
      <c r="G8"/>
      <c r="H8"/>
      <c r="I8"/>
      <c r="J8"/>
      <c r="K8"/>
      <c r="L8"/>
      <c r="M8"/>
      <c r="N8"/>
      <c r="O8"/>
      <c r="P8">
        <v>0.50358199999999997</v>
      </c>
      <c r="Q8">
        <v>0.49997900000000001</v>
      </c>
      <c r="R8"/>
    </row>
    <row r="9" spans="1:18" x14ac:dyDescent="0.2">
      <c r="A9" s="24" t="s">
        <v>46</v>
      </c>
      <c r="C9" s="25">
        <f>SUM(Q22:Q33)</f>
        <v>0.11694093283352452</v>
      </c>
      <c r="E9" s="10" t="s">
        <v>52</v>
      </c>
      <c r="F9" s="10">
        <f>SQRT(C9)/COUNT(Q21:Q34)</f>
        <v>2.6305098031501249E-2</v>
      </c>
      <c r="G9" t="s">
        <v>53</v>
      </c>
      <c r="H9"/>
      <c r="I9"/>
      <c r="J9"/>
      <c r="K9"/>
      <c r="L9"/>
      <c r="M9"/>
      <c r="N9"/>
      <c r="O9"/>
      <c r="P9">
        <v>7.2149451086189156E-2</v>
      </c>
      <c r="Q9">
        <v>7.316981367637114E-2</v>
      </c>
      <c r="R9"/>
    </row>
    <row r="10" spans="1:18" ht="13.5" thickBot="1" x14ac:dyDescent="0.25">
      <c r="C10" s="6" t="s">
        <v>24</v>
      </c>
      <c r="D10" s="6" t="s">
        <v>25</v>
      </c>
      <c r="E10"/>
      <c r="G10"/>
      <c r="H10"/>
      <c r="I10"/>
      <c r="J10"/>
      <c r="K10"/>
      <c r="L10"/>
      <c r="M10"/>
      <c r="N10"/>
      <c r="O10"/>
      <c r="P10"/>
      <c r="Q10"/>
      <c r="R10"/>
    </row>
    <row r="11" spans="1:18" x14ac:dyDescent="0.2">
      <c r="A11" t="s">
        <v>20</v>
      </c>
      <c r="C11">
        <f>INTERCEPT(G22:G994,F22:F994)</f>
        <v>1.4322943218333182</v>
      </c>
      <c r="D11" s="5"/>
      <c r="E11"/>
      <c r="G11"/>
      <c r="H11"/>
      <c r="I11"/>
      <c r="J11"/>
      <c r="K11"/>
      <c r="L11"/>
      <c r="M11"/>
      <c r="N11"/>
      <c r="O11"/>
      <c r="P11"/>
      <c r="Q11"/>
      <c r="R11"/>
    </row>
    <row r="12" spans="1:18" x14ac:dyDescent="0.2">
      <c r="A12" t="s">
        <v>21</v>
      </c>
      <c r="C12">
        <f>SLOPE(G22:G994,F22:F994)</f>
        <v>-7.109237240522431E-5</v>
      </c>
      <c r="D12" s="5"/>
      <c r="E12"/>
      <c r="G12"/>
      <c r="H12"/>
      <c r="I12"/>
      <c r="J12"/>
      <c r="K12"/>
      <c r="L12"/>
      <c r="M12"/>
      <c r="N12"/>
      <c r="O12"/>
      <c r="P12"/>
      <c r="Q12"/>
      <c r="R12"/>
    </row>
    <row r="13" spans="1:18" x14ac:dyDescent="0.2">
      <c r="A13" t="s">
        <v>23</v>
      </c>
      <c r="C13" s="5" t="s">
        <v>18</v>
      </c>
      <c r="D13" s="5"/>
      <c r="E13"/>
      <c r="G13"/>
      <c r="H13"/>
      <c r="I13"/>
      <c r="J13"/>
      <c r="K13"/>
      <c r="L13"/>
      <c r="M13"/>
      <c r="N13"/>
      <c r="O13"/>
      <c r="P13"/>
      <c r="Q13"/>
      <c r="R13"/>
    </row>
    <row r="14" spans="1:18" x14ac:dyDescent="0.2">
      <c r="A14" t="s">
        <v>28</v>
      </c>
      <c r="C14"/>
      <c r="D14"/>
      <c r="E14"/>
      <c r="G14"/>
      <c r="H14"/>
      <c r="I14"/>
      <c r="J14"/>
      <c r="K14"/>
      <c r="L14"/>
      <c r="M14"/>
      <c r="N14"/>
      <c r="O14"/>
      <c r="P14"/>
      <c r="Q14"/>
      <c r="R14"/>
    </row>
    <row r="15" spans="1:18" x14ac:dyDescent="0.2">
      <c r="A15" s="4" t="s">
        <v>22</v>
      </c>
      <c r="B15" s="4"/>
      <c r="C15">
        <f>+D15+C8/2</f>
        <v>53123.630489499999</v>
      </c>
      <c r="D15" s="10">
        <v>53123.380499999999</v>
      </c>
      <c r="E15"/>
      <c r="G15"/>
      <c r="H15"/>
      <c r="I15"/>
      <c r="J15"/>
      <c r="K15"/>
      <c r="L15"/>
      <c r="M15"/>
      <c r="N15"/>
      <c r="O15"/>
      <c r="P15"/>
      <c r="Q15"/>
      <c r="R15"/>
    </row>
    <row r="16" spans="1:18" x14ac:dyDescent="0.2">
      <c r="A16" s="7" t="s">
        <v>8</v>
      </c>
      <c r="B16" s="7"/>
      <c r="C16">
        <f>+C8+C12</f>
        <v>0.49990790762759479</v>
      </c>
      <c r="D16">
        <f>+C$8+D$12+2*D$13*MAX(G21:G45)</f>
        <v>0.49997900000000001</v>
      </c>
      <c r="E16"/>
      <c r="G16"/>
      <c r="H16"/>
      <c r="I16"/>
      <c r="J16"/>
      <c r="K16"/>
      <c r="L16"/>
      <c r="M16"/>
      <c r="N16"/>
      <c r="O16"/>
      <c r="P16"/>
      <c r="Q16"/>
      <c r="R16"/>
    </row>
    <row r="17" spans="1:18" ht="13.5" thickBot="1" x14ac:dyDescent="0.25">
      <c r="C17"/>
      <c r="D17"/>
      <c r="E17"/>
      <c r="G17"/>
      <c r="H17"/>
      <c r="I17"/>
      <c r="J17"/>
      <c r="K17"/>
      <c r="L17"/>
      <c r="M17"/>
      <c r="N17"/>
      <c r="O17"/>
      <c r="P17"/>
      <c r="Q17"/>
      <c r="R17"/>
    </row>
    <row r="18" spans="1:18" ht="14.25" thickTop="1" thickBot="1" x14ac:dyDescent="0.25">
      <c r="A18" s="7" t="s">
        <v>9</v>
      </c>
      <c r="B18" s="7"/>
      <c r="C18" s="2">
        <f>+C15</f>
        <v>53123.630489499999</v>
      </c>
      <c r="D18" s="3">
        <f>+C16</f>
        <v>0.49990790762759479</v>
      </c>
      <c r="E18"/>
      <c r="G18"/>
      <c r="H18"/>
      <c r="I18"/>
      <c r="J18"/>
      <c r="K18"/>
      <c r="L18"/>
      <c r="M18"/>
      <c r="N18"/>
      <c r="O18"/>
      <c r="P18" t="s">
        <v>59</v>
      </c>
      <c r="Q18" s="10">
        <f>SUM(Q22:Q38)</f>
        <v>0.17009095112127293</v>
      </c>
      <c r="R18"/>
    </row>
    <row r="19" spans="1:18" ht="13.5" thickTop="1" x14ac:dyDescent="0.2">
      <c r="C19"/>
      <c r="D19"/>
      <c r="E19"/>
      <c r="G19"/>
      <c r="H19"/>
      <c r="I19"/>
      <c r="J19"/>
      <c r="K19"/>
      <c r="L19"/>
      <c r="M19"/>
      <c r="N19"/>
      <c r="O19"/>
      <c r="P19"/>
      <c r="Q19"/>
      <c r="R19"/>
    </row>
    <row r="20" spans="1:18" ht="13.5" thickBot="1" x14ac:dyDescent="0.25">
      <c r="A20" s="6" t="s">
        <v>10</v>
      </c>
      <c r="B20" s="6" t="s">
        <v>11</v>
      </c>
      <c r="C20" s="6" t="s">
        <v>12</v>
      </c>
      <c r="D20" s="6" t="s">
        <v>17</v>
      </c>
      <c r="E20" s="6" t="s">
        <v>13</v>
      </c>
      <c r="F20" s="6" t="s">
        <v>14</v>
      </c>
      <c r="G20" s="6" t="s">
        <v>15</v>
      </c>
      <c r="H20" s="9" t="s">
        <v>16</v>
      </c>
      <c r="I20" s="9" t="s">
        <v>35</v>
      </c>
      <c r="J20" s="9" t="s">
        <v>38</v>
      </c>
      <c r="K20" s="9" t="s">
        <v>39</v>
      </c>
      <c r="L20" s="9" t="s">
        <v>50</v>
      </c>
      <c r="M20" s="9" t="s">
        <v>42</v>
      </c>
      <c r="N20" s="9" t="s">
        <v>27</v>
      </c>
      <c r="O20" s="8" t="s">
        <v>26</v>
      </c>
      <c r="P20" s="6" t="s">
        <v>19</v>
      </c>
      <c r="Q20" s="23" t="s">
        <v>45</v>
      </c>
      <c r="R20"/>
    </row>
    <row r="21" spans="1:18" x14ac:dyDescent="0.2">
      <c r="A21" t="s">
        <v>16</v>
      </c>
      <c r="B21" s="30"/>
      <c r="C21" s="10">
        <f>+C4</f>
        <v>41945.292000000001</v>
      </c>
      <c r="D21" s="11" t="s">
        <v>18</v>
      </c>
      <c r="E21" s="12">
        <f t="shared" ref="E21:E38" si="0">+(C21-C$7)/C$8</f>
        <v>0</v>
      </c>
      <c r="F21" s="18">
        <v>-2</v>
      </c>
      <c r="G21" s="10">
        <f t="shared" ref="G21:G38" si="1">+C21-(C$7+F21*C$8)</f>
        <v>0.99995800000033341</v>
      </c>
      <c r="H21" s="10">
        <f>+G21</f>
        <v>0.99995800000033341</v>
      </c>
      <c r="N21" s="10">
        <f t="shared" ref="N21:N38" si="2">+C$11+C$12*F21</f>
        <v>1.4324365065781286</v>
      </c>
      <c r="P21" s="14">
        <f t="shared" ref="P21:P38" si="3">+C21-15018.5</f>
        <v>26926.792000000001</v>
      </c>
    </row>
    <row r="22" spans="1:18" x14ac:dyDescent="0.2">
      <c r="A22" t="s">
        <v>32</v>
      </c>
      <c r="B22" s="30" t="s">
        <v>33</v>
      </c>
      <c r="C22" s="34">
        <v>51243.988499999999</v>
      </c>
      <c r="D22" s="11">
        <v>1.5E-3</v>
      </c>
      <c r="E22" s="12">
        <f t="shared" si="0"/>
        <v>18598.174123313176</v>
      </c>
      <c r="F22">
        <f t="shared" ref="F22:F30" si="4">ROUND(2*E22,0)/2</f>
        <v>18598</v>
      </c>
      <c r="G22" s="10">
        <f t="shared" si="1"/>
        <v>8.705799999734154E-2</v>
      </c>
      <c r="J22" s="19">
        <f>+C22-(C$7+F22*C$8)</f>
        <v>8.705799999734154E-2</v>
      </c>
      <c r="N22" s="10">
        <f t="shared" si="2"/>
        <v>0.1101183798409564</v>
      </c>
      <c r="P22" s="14">
        <f t="shared" si="3"/>
        <v>36225.488499999999</v>
      </c>
      <c r="Q22" s="10">
        <f t="shared" ref="Q22:Q38" si="5">+(N22-G22)^2</f>
        <v>5.3178111853179868E-4</v>
      </c>
    </row>
    <row r="23" spans="1:18" x14ac:dyDescent="0.2">
      <c r="A23" t="s">
        <v>35</v>
      </c>
      <c r="B23" s="30" t="s">
        <v>36</v>
      </c>
      <c r="C23" s="10">
        <v>51275.214</v>
      </c>
      <c r="D23" s="11"/>
      <c r="E23" s="12">
        <f t="shared" si="0"/>
        <v>18660.627746365346</v>
      </c>
      <c r="F23">
        <f t="shared" si="4"/>
        <v>18660.5</v>
      </c>
      <c r="G23" s="10">
        <f t="shared" si="1"/>
        <v>6.3870499994663987E-2</v>
      </c>
      <c r="I23" s="10">
        <f>+G23</f>
        <v>6.3870499994663987E-2</v>
      </c>
      <c r="N23" s="10">
        <f t="shared" si="2"/>
        <v>0.10567510656562984</v>
      </c>
      <c r="P23" s="14">
        <f t="shared" si="3"/>
        <v>36256.714</v>
      </c>
      <c r="Q23" s="10">
        <f t="shared" si="5"/>
        <v>1.7476251305532412E-3</v>
      </c>
      <c r="R23" s="16"/>
    </row>
    <row r="24" spans="1:18" x14ac:dyDescent="0.2">
      <c r="A24" s="26" t="s">
        <v>35</v>
      </c>
      <c r="B24" s="30" t="s">
        <v>34</v>
      </c>
      <c r="C24" s="10">
        <v>51275.756000000001</v>
      </c>
      <c r="D24" s="11"/>
      <c r="E24" s="12">
        <f t="shared" si="0"/>
        <v>18661.711791895261</v>
      </c>
      <c r="F24">
        <f t="shared" si="4"/>
        <v>18661.5</v>
      </c>
      <c r="G24" s="10">
        <f t="shared" si="1"/>
        <v>0.10589149999577785</v>
      </c>
      <c r="I24" s="10">
        <f>G24</f>
        <v>0.10589149999577785</v>
      </c>
      <c r="N24" s="10">
        <f t="shared" si="2"/>
        <v>0.10560401419322463</v>
      </c>
      <c r="P24" s="14">
        <f t="shared" si="3"/>
        <v>36257.256000000001</v>
      </c>
      <c r="Q24" s="10">
        <f t="shared" si="5"/>
        <v>8.264808666967033E-8</v>
      </c>
    </row>
    <row r="25" spans="1:18" x14ac:dyDescent="0.2">
      <c r="A25" s="26" t="s">
        <v>35</v>
      </c>
      <c r="B25" s="30" t="s">
        <v>33</v>
      </c>
      <c r="C25" s="10">
        <v>51275.9692</v>
      </c>
      <c r="D25" s="11"/>
      <c r="E25" s="12">
        <f t="shared" si="0"/>
        <v>18662.138209804809</v>
      </c>
      <c r="F25">
        <f t="shared" si="4"/>
        <v>18662</v>
      </c>
      <c r="G25" s="10">
        <f t="shared" si="1"/>
        <v>6.9102000001294073E-2</v>
      </c>
      <c r="I25" s="10">
        <f>G25</f>
        <v>6.9102000001294073E-2</v>
      </c>
      <c r="N25" s="10">
        <f t="shared" si="2"/>
        <v>0.10556846800702213</v>
      </c>
      <c r="P25" s="14">
        <f t="shared" si="3"/>
        <v>36257.4692</v>
      </c>
      <c r="Q25" s="10">
        <f t="shared" si="5"/>
        <v>1.3298032888127882E-3</v>
      </c>
    </row>
    <row r="26" spans="1:18" x14ac:dyDescent="0.2">
      <c r="A26" s="26" t="s">
        <v>32</v>
      </c>
      <c r="B26" s="30" t="s">
        <v>34</v>
      </c>
      <c r="C26" s="10">
        <v>51310.718399999998</v>
      </c>
      <c r="D26" s="11">
        <v>8.9999999999999998E-4</v>
      </c>
      <c r="E26" s="12">
        <f t="shared" si="0"/>
        <v>18731.639528860203</v>
      </c>
      <c r="F26">
        <f t="shared" si="4"/>
        <v>18731.5</v>
      </c>
      <c r="G26" s="10">
        <f t="shared" si="1"/>
        <v>6.9761499995365739E-2</v>
      </c>
      <c r="J26" s="10">
        <f>+G26</f>
        <v>6.9761499995365739E-2</v>
      </c>
      <c r="N26" s="10">
        <f t="shared" si="2"/>
        <v>0.10062754812485908</v>
      </c>
      <c r="P26" s="14">
        <f t="shared" si="3"/>
        <v>36292.218399999998</v>
      </c>
      <c r="Q26" s="10">
        <f t="shared" si="5"/>
        <v>9.5271292713219934E-4</v>
      </c>
      <c r="R26" s="16"/>
    </row>
    <row r="27" spans="1:18" x14ac:dyDescent="0.2">
      <c r="A27" s="26" t="s">
        <v>35</v>
      </c>
      <c r="B27" s="30" t="s">
        <v>37</v>
      </c>
      <c r="C27" s="10">
        <v>51349.731</v>
      </c>
      <c r="D27" s="11"/>
      <c r="E27" s="12">
        <f t="shared" si="0"/>
        <v>18809.66800605625</v>
      </c>
      <c r="F27">
        <f t="shared" si="4"/>
        <v>18809.5</v>
      </c>
      <c r="G27" s="10">
        <f t="shared" si="1"/>
        <v>8.399949999875389E-2</v>
      </c>
      <c r="I27" s="10">
        <f>+G27</f>
        <v>8.399949999875389E-2</v>
      </c>
      <c r="N27" s="10">
        <f t="shared" si="2"/>
        <v>9.5082343077251608E-2</v>
      </c>
      <c r="P27" s="14">
        <f t="shared" si="3"/>
        <v>36331.231</v>
      </c>
      <c r="Q27" s="10">
        <f t="shared" si="5"/>
        <v>1.2282941070260476E-4</v>
      </c>
      <c r="R27" s="16"/>
    </row>
    <row r="28" spans="1:18" x14ac:dyDescent="0.2">
      <c r="A28" s="26" t="s">
        <v>40</v>
      </c>
      <c r="B28" s="30" t="s">
        <v>33</v>
      </c>
      <c r="C28" s="10">
        <v>52426.4162</v>
      </c>
      <c r="D28" s="11">
        <v>8.9999999999999998E-4</v>
      </c>
      <c r="E28" s="12">
        <f t="shared" si="0"/>
        <v>20963.128851411755</v>
      </c>
      <c r="F28">
        <f t="shared" si="4"/>
        <v>20963</v>
      </c>
      <c r="G28" s="10">
        <f t="shared" si="1"/>
        <v>6.4422999996168073E-2</v>
      </c>
      <c r="M28" s="10">
        <f>G28</f>
        <v>6.4422999996168073E-2</v>
      </c>
      <c r="N28" s="10">
        <f t="shared" si="2"/>
        <v>-5.801508089739893E-2</v>
      </c>
      <c r="P28" s="14">
        <f t="shared" si="3"/>
        <v>37407.9162</v>
      </c>
      <c r="Q28" s="10">
        <f t="shared" si="5"/>
        <v>1.4991083652899657E-2</v>
      </c>
    </row>
    <row r="29" spans="1:18" x14ac:dyDescent="0.2">
      <c r="A29" s="29" t="s">
        <v>44</v>
      </c>
      <c r="B29" s="20" t="s">
        <v>34</v>
      </c>
      <c r="C29" s="21">
        <v>53114.851999999999</v>
      </c>
      <c r="D29" s="11">
        <v>6.9999999999999999E-4</v>
      </c>
      <c r="E29" s="12">
        <f t="shared" si="0"/>
        <v>22340.058282447859</v>
      </c>
      <c r="F29">
        <f t="shared" si="4"/>
        <v>22340</v>
      </c>
      <c r="G29" s="10">
        <f t="shared" si="1"/>
        <v>2.9139999998733401E-2</v>
      </c>
      <c r="J29" s="10">
        <f>G29</f>
        <v>2.9139999998733401E-2</v>
      </c>
      <c r="N29" s="10">
        <f t="shared" si="2"/>
        <v>-0.15590927769939289</v>
      </c>
      <c r="P29" s="14">
        <f t="shared" si="3"/>
        <v>38096.351999999999</v>
      </c>
      <c r="Q29" s="10">
        <f t="shared" si="5"/>
        <v>3.4243235176598261E-2</v>
      </c>
      <c r="R29" s="16"/>
    </row>
    <row r="30" spans="1:18" x14ac:dyDescent="0.2">
      <c r="A30" s="35" t="s">
        <v>56</v>
      </c>
      <c r="B30" s="20"/>
      <c r="C30" s="31">
        <v>53117.409899999999</v>
      </c>
      <c r="D30" s="11">
        <v>1E-3</v>
      </c>
      <c r="E30" s="12">
        <f t="shared" si="0"/>
        <v>22345.174297320482</v>
      </c>
      <c r="F30">
        <f t="shared" si="4"/>
        <v>22345</v>
      </c>
      <c r="G30" s="10">
        <f t="shared" si="1"/>
        <v>8.714499999769032E-2</v>
      </c>
      <c r="J30" s="10">
        <f>G30</f>
        <v>8.714499999769032E-2</v>
      </c>
      <c r="N30" s="10">
        <f t="shared" si="2"/>
        <v>-0.15626473956141895</v>
      </c>
      <c r="P30" s="14">
        <f t="shared" si="3"/>
        <v>38098.909899999999</v>
      </c>
      <c r="Q30" s="10">
        <f t="shared" si="5"/>
        <v>5.9248301312233409E-2</v>
      </c>
    </row>
    <row r="31" spans="1:18" x14ac:dyDescent="0.2">
      <c r="A31" s="31" t="s">
        <v>49</v>
      </c>
      <c r="B31" s="30" t="s">
        <v>33</v>
      </c>
      <c r="C31" s="10">
        <v>53123.380499999999</v>
      </c>
      <c r="D31" s="11">
        <v>8.0000000000000004E-4</v>
      </c>
      <c r="E31" s="12">
        <f t="shared" si="0"/>
        <v>22357.115998871948</v>
      </c>
      <c r="F31" s="18">
        <f t="shared" ref="F31:F38" si="6">ROUND(2*E31,0)/2+0.5</f>
        <v>22357.5</v>
      </c>
      <c r="G31" s="10">
        <f t="shared" si="1"/>
        <v>-0.19199250000383472</v>
      </c>
      <c r="K31" s="10">
        <f>G31</f>
        <v>-0.19199250000383472</v>
      </c>
      <c r="N31" s="10">
        <f t="shared" si="2"/>
        <v>-0.15715339421648444</v>
      </c>
      <c r="P31" s="14">
        <f t="shared" si="3"/>
        <v>38104.880499999999</v>
      </c>
      <c r="Q31" s="10">
        <f t="shared" si="5"/>
        <v>1.2137632920621835E-3</v>
      </c>
    </row>
    <row r="32" spans="1:18" x14ac:dyDescent="0.2">
      <c r="A32" s="27" t="s">
        <v>39</v>
      </c>
      <c r="B32" s="30" t="s">
        <v>34</v>
      </c>
      <c r="C32" s="10">
        <v>53265.59</v>
      </c>
      <c r="D32" s="11">
        <v>2.0000000000000001E-4</v>
      </c>
      <c r="E32" s="12">
        <f t="shared" si="0"/>
        <v>22641.54694497168</v>
      </c>
      <c r="F32" s="18">
        <f t="shared" si="6"/>
        <v>22642</v>
      </c>
      <c r="G32" s="10">
        <f t="shared" si="1"/>
        <v>-0.22651800000312505</v>
      </c>
      <c r="K32" s="10">
        <f>G32</f>
        <v>-0.22651800000312505</v>
      </c>
      <c r="N32" s="10">
        <f t="shared" si="2"/>
        <v>-0.17737917416577065</v>
      </c>
      <c r="P32" s="14">
        <f t="shared" si="3"/>
        <v>38247.089999999997</v>
      </c>
      <c r="Q32" s="10">
        <f t="shared" si="5"/>
        <v>2.4146242046738488E-3</v>
      </c>
    </row>
    <row r="33" spans="1:17" x14ac:dyDescent="0.2">
      <c r="A33" s="27" t="s">
        <v>39</v>
      </c>
      <c r="B33" s="30" t="s">
        <v>34</v>
      </c>
      <c r="C33" s="10">
        <v>53266.650999999998</v>
      </c>
      <c r="D33" s="33">
        <v>4.0000000000000002E-4</v>
      </c>
      <c r="E33" s="12">
        <f t="shared" si="0"/>
        <v>22643.669034099425</v>
      </c>
      <c r="F33" s="18">
        <f t="shared" si="6"/>
        <v>22644</v>
      </c>
      <c r="G33" s="10">
        <f t="shared" si="1"/>
        <v>-0.16547600000194507</v>
      </c>
      <c r="K33" s="10">
        <f>G33</f>
        <v>-0.16547600000194507</v>
      </c>
      <c r="N33" s="10">
        <f t="shared" si="2"/>
        <v>-0.17752135891058107</v>
      </c>
      <c r="P33" s="14">
        <f t="shared" si="3"/>
        <v>38248.150999999998</v>
      </c>
      <c r="Q33" s="10">
        <f t="shared" si="5"/>
        <v>1.4509067123785678E-4</v>
      </c>
    </row>
    <row r="34" spans="1:17" x14ac:dyDescent="0.2">
      <c r="A34" s="27" t="s">
        <v>39</v>
      </c>
      <c r="B34" s="30" t="s">
        <v>34</v>
      </c>
      <c r="C34" s="10">
        <v>53269.638099999996</v>
      </c>
      <c r="D34" s="11">
        <v>1E-4</v>
      </c>
      <c r="E34" s="12">
        <f t="shared" si="0"/>
        <v>22649.643485026361</v>
      </c>
      <c r="F34" s="18">
        <f t="shared" si="6"/>
        <v>22650</v>
      </c>
      <c r="G34" s="10">
        <f t="shared" si="1"/>
        <v>-0.17825000000448199</v>
      </c>
      <c r="K34" s="10">
        <f>G34</f>
        <v>-0.17825000000448199</v>
      </c>
      <c r="N34" s="10">
        <f t="shared" si="2"/>
        <v>-0.17794791314501235</v>
      </c>
      <c r="P34" s="14">
        <f t="shared" si="3"/>
        <v>38251.138099999996</v>
      </c>
      <c r="Q34" s="10">
        <f t="shared" si="5"/>
        <v>9.1256470664230814E-8</v>
      </c>
    </row>
    <row r="35" spans="1:17" x14ac:dyDescent="0.2">
      <c r="A35" s="32" t="s">
        <v>55</v>
      </c>
      <c r="B35" s="5"/>
      <c r="C35" s="10">
        <v>53499.897199999999</v>
      </c>
      <c r="D35" s="11">
        <v>1.0001</v>
      </c>
      <c r="E35" s="12">
        <f t="shared" si="0"/>
        <v>23110.181027603154</v>
      </c>
      <c r="F35" s="18">
        <f t="shared" si="6"/>
        <v>23110.5</v>
      </c>
      <c r="G35" s="10">
        <f t="shared" si="1"/>
        <v>-0.15947950000554556</v>
      </c>
      <c r="L35" s="10">
        <f>G35</f>
        <v>-0.15947950000554556</v>
      </c>
      <c r="N35" s="10">
        <f t="shared" si="2"/>
        <v>-0.21068595063761819</v>
      </c>
      <c r="P35" s="14">
        <f t="shared" si="3"/>
        <v>38481.397199999999</v>
      </c>
      <c r="Q35" s="10">
        <f t="shared" si="5"/>
        <v>2.6221005863348917E-3</v>
      </c>
    </row>
    <row r="36" spans="1:17" x14ac:dyDescent="0.2">
      <c r="A36" s="22" t="s">
        <v>58</v>
      </c>
      <c r="B36" s="21"/>
      <c r="C36" s="31">
        <v>53515.460400000004</v>
      </c>
      <c r="D36" s="11">
        <v>2.0001000000000002</v>
      </c>
      <c r="E36" s="12">
        <f t="shared" si="0"/>
        <v>23141.308734966871</v>
      </c>
      <c r="F36" s="18">
        <f t="shared" si="6"/>
        <v>23142</v>
      </c>
      <c r="G36" s="10">
        <f t="shared" si="1"/>
        <v>-0.34561799999937648</v>
      </c>
      <c r="J36" s="10">
        <f>G36</f>
        <v>-0.34561799999937648</v>
      </c>
      <c r="N36" s="10">
        <f t="shared" si="2"/>
        <v>-0.21292536036838272</v>
      </c>
      <c r="P36" s="14">
        <f t="shared" si="3"/>
        <v>38496.960400000004</v>
      </c>
      <c r="Q36" s="10">
        <f t="shared" si="5"/>
        <v>1.7607336612240777E-2</v>
      </c>
    </row>
    <row r="37" spans="1:17" x14ac:dyDescent="0.2">
      <c r="A37" s="22" t="s">
        <v>58</v>
      </c>
      <c r="B37" s="21"/>
      <c r="C37" s="31">
        <v>53518.447899999999</v>
      </c>
      <c r="D37" s="11">
        <v>3.0001000000000002</v>
      </c>
      <c r="E37" s="12">
        <f t="shared" si="0"/>
        <v>23147.283985927403</v>
      </c>
      <c r="F37" s="18">
        <f t="shared" si="6"/>
        <v>23148</v>
      </c>
      <c r="G37" s="10">
        <f t="shared" si="1"/>
        <v>-0.35799200000474229</v>
      </c>
      <c r="J37" s="10">
        <f>G37</f>
        <v>-0.35799200000474229</v>
      </c>
      <c r="N37" s="10">
        <f t="shared" si="2"/>
        <v>-0.21335191460281422</v>
      </c>
      <c r="P37" s="14">
        <f t="shared" si="3"/>
        <v>38499.947899999999</v>
      </c>
      <c r="Q37" s="10">
        <f t="shared" si="5"/>
        <v>2.0920754305077047E-2</v>
      </c>
    </row>
    <row r="38" spans="1:17" x14ac:dyDescent="0.2">
      <c r="A38" s="22" t="s">
        <v>58</v>
      </c>
      <c r="B38" s="21"/>
      <c r="C38" s="31">
        <v>53847.422400000003</v>
      </c>
      <c r="D38" s="11">
        <v>4.0000999999999998</v>
      </c>
      <c r="E38" s="12">
        <f t="shared" si="0"/>
        <v>23805.260620946083</v>
      </c>
      <c r="F38" s="18">
        <f t="shared" si="6"/>
        <v>23806</v>
      </c>
      <c r="G38" s="10">
        <f t="shared" si="1"/>
        <v>-0.36967399999412009</v>
      </c>
      <c r="J38" s="10">
        <f>G38</f>
        <v>-0.36967399999412009</v>
      </c>
      <c r="N38" s="10">
        <f t="shared" si="2"/>
        <v>-0.26013069564545166</v>
      </c>
      <c r="P38" s="14">
        <f t="shared" si="3"/>
        <v>38828.922400000003</v>
      </c>
      <c r="Q38" s="10">
        <f t="shared" si="5"/>
        <v>1.1999735527625E-2</v>
      </c>
    </row>
    <row r="39" spans="1:17" x14ac:dyDescent="0.2">
      <c r="D39" s="11"/>
    </row>
    <row r="40" spans="1:17" x14ac:dyDescent="0.2">
      <c r="D40" s="11"/>
    </row>
    <row r="41" spans="1:17" x14ac:dyDescent="0.2">
      <c r="D41" s="11"/>
    </row>
    <row r="42" spans="1:17" x14ac:dyDescent="0.2">
      <c r="D42" s="11"/>
    </row>
    <row r="43" spans="1:17" x14ac:dyDescent="0.2">
      <c r="D43" s="11"/>
    </row>
    <row r="44" spans="1:17" x14ac:dyDescent="0.2">
      <c r="D44" s="11"/>
    </row>
    <row r="45" spans="1:17" x14ac:dyDescent="0.2">
      <c r="D45" s="11"/>
    </row>
    <row r="46" spans="1:17" x14ac:dyDescent="0.2">
      <c r="D46" s="11"/>
    </row>
    <row r="47" spans="1:17" x14ac:dyDescent="0.2">
      <c r="D47" s="11"/>
    </row>
  </sheetData>
  <sheetProtection sheet="1" objects="1" scenarios="1"/>
  <phoneticPr fontId="9" type="noConversion"/>
  <pageMargins left="0.75" right="0.75" top="1" bottom="1" header="0.5" footer="0.5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R47"/>
  <sheetViews>
    <sheetView workbookViewId="0">
      <selection activeCell="P18" sqref="P18:Q18"/>
    </sheetView>
  </sheetViews>
  <sheetFormatPr defaultColWidth="10.28515625" defaultRowHeight="12.75" x14ac:dyDescent="0.2"/>
  <cols>
    <col min="1" max="1" width="15.7109375" customWidth="1"/>
    <col min="2" max="2" width="4.140625" customWidth="1"/>
    <col min="3" max="3" width="11.85546875" style="10" customWidth="1"/>
    <col min="4" max="4" width="11" style="10" customWidth="1"/>
    <col min="5" max="5" width="9.140625" style="12" customWidth="1"/>
    <col min="6" max="6" width="9.140625" customWidth="1"/>
    <col min="7" max="7" width="8.140625" style="10" customWidth="1"/>
    <col min="8" max="13" width="8.5703125" style="10" customWidth="1"/>
    <col min="14" max="14" width="8" style="10" customWidth="1"/>
    <col min="15" max="15" width="7.7109375" style="10" customWidth="1"/>
    <col min="16" max="16" width="10.42578125" style="14" customWidth="1"/>
    <col min="17" max="17" width="9.140625" style="13" customWidth="1"/>
    <col min="18" max="18" width="18.7109375" style="13" bestFit="1" customWidth="1"/>
  </cols>
  <sheetData>
    <row r="1" spans="1:18" ht="20.25" x14ac:dyDescent="0.3">
      <c r="A1" s="1" t="s">
        <v>30</v>
      </c>
      <c r="B1" s="1"/>
      <c r="C1" s="17" t="s">
        <v>43</v>
      </c>
      <c r="D1"/>
      <c r="E1"/>
      <c r="G1"/>
      <c r="H1"/>
      <c r="I1"/>
      <c r="J1"/>
      <c r="K1"/>
      <c r="L1"/>
      <c r="M1"/>
      <c r="N1"/>
      <c r="O1"/>
      <c r="P1"/>
      <c r="Q1"/>
      <c r="R1"/>
    </row>
    <row r="2" spans="1:18" x14ac:dyDescent="0.2">
      <c r="A2" t="s">
        <v>29</v>
      </c>
      <c r="B2" t="s">
        <v>31</v>
      </c>
      <c r="C2"/>
      <c r="D2"/>
      <c r="E2"/>
      <c r="G2"/>
      <c r="H2"/>
      <c r="I2"/>
      <c r="J2"/>
      <c r="K2"/>
      <c r="L2"/>
      <c r="M2"/>
      <c r="N2"/>
      <c r="O2"/>
      <c r="P2"/>
      <c r="Q2"/>
      <c r="R2"/>
    </row>
    <row r="3" spans="1:18" ht="13.5" thickBot="1" x14ac:dyDescent="0.25">
      <c r="C3"/>
      <c r="D3"/>
      <c r="E3"/>
      <c r="G3"/>
      <c r="H3"/>
      <c r="I3"/>
      <c r="J3"/>
      <c r="K3"/>
      <c r="L3"/>
      <c r="M3"/>
      <c r="N3"/>
      <c r="O3"/>
      <c r="P3"/>
      <c r="Q3"/>
      <c r="R3"/>
    </row>
    <row r="4" spans="1:18" ht="14.25" thickTop="1" thickBot="1" x14ac:dyDescent="0.25">
      <c r="A4" s="7" t="s">
        <v>4</v>
      </c>
      <c r="B4" s="7"/>
      <c r="C4" s="2">
        <v>41945.292000000001</v>
      </c>
      <c r="D4" s="3">
        <v>0.54200000000000004</v>
      </c>
      <c r="E4"/>
      <c r="G4"/>
      <c r="H4"/>
      <c r="I4"/>
      <c r="J4"/>
      <c r="K4"/>
      <c r="L4"/>
      <c r="M4"/>
      <c r="N4"/>
      <c r="O4"/>
      <c r="P4"/>
      <c r="Q4"/>
      <c r="R4"/>
    </row>
    <row r="5" spans="1:18" ht="13.5" thickTop="1" x14ac:dyDescent="0.2">
      <c r="C5"/>
      <c r="D5"/>
      <c r="E5"/>
      <c r="G5"/>
      <c r="H5"/>
      <c r="I5"/>
      <c r="J5"/>
      <c r="K5"/>
      <c r="L5"/>
      <c r="M5"/>
      <c r="N5"/>
      <c r="O5"/>
      <c r="P5"/>
      <c r="Q5"/>
      <c r="R5"/>
    </row>
    <row r="6" spans="1:18" x14ac:dyDescent="0.2">
      <c r="A6" s="7" t="s">
        <v>5</v>
      </c>
      <c r="B6" s="7"/>
      <c r="C6"/>
      <c r="D6"/>
      <c r="E6"/>
      <c r="G6"/>
      <c r="H6"/>
      <c r="I6"/>
      <c r="J6"/>
      <c r="K6"/>
      <c r="L6"/>
      <c r="M6"/>
      <c r="N6"/>
      <c r="O6"/>
      <c r="P6"/>
      <c r="Q6"/>
      <c r="R6"/>
    </row>
    <row r="7" spans="1:18" x14ac:dyDescent="0.2">
      <c r="A7" t="s">
        <v>6</v>
      </c>
      <c r="C7" s="10">
        <v>41945.292000000001</v>
      </c>
      <c r="D7" s="17" t="s">
        <v>47</v>
      </c>
      <c r="E7"/>
      <c r="G7"/>
      <c r="H7"/>
      <c r="I7"/>
      <c r="J7"/>
      <c r="K7"/>
      <c r="L7"/>
      <c r="M7"/>
      <c r="N7"/>
      <c r="O7"/>
      <c r="P7"/>
      <c r="Q7"/>
      <c r="R7"/>
    </row>
    <row r="8" spans="1:18" x14ac:dyDescent="0.2">
      <c r="A8" t="s">
        <v>7</v>
      </c>
      <c r="C8" s="15">
        <v>0.49996099999999999</v>
      </c>
      <c r="D8" s="17" t="s">
        <v>48</v>
      </c>
      <c r="E8"/>
      <c r="G8"/>
      <c r="H8"/>
      <c r="I8"/>
      <c r="J8"/>
      <c r="K8"/>
      <c r="L8"/>
      <c r="M8"/>
      <c r="N8"/>
      <c r="O8"/>
      <c r="P8"/>
      <c r="Q8"/>
      <c r="R8"/>
    </row>
    <row r="9" spans="1:18" x14ac:dyDescent="0.2">
      <c r="A9" s="24" t="s">
        <v>46</v>
      </c>
      <c r="C9" s="25">
        <f>SUM(Q22:Q33)</f>
        <v>8.3321387934207763E-2</v>
      </c>
      <c r="E9"/>
      <c r="G9"/>
      <c r="H9"/>
      <c r="I9"/>
      <c r="J9"/>
      <c r="K9"/>
      <c r="L9"/>
      <c r="M9"/>
      <c r="N9"/>
      <c r="O9"/>
      <c r="P9"/>
      <c r="Q9"/>
      <c r="R9"/>
    </row>
    <row r="10" spans="1:18" ht="13.5" thickBot="1" x14ac:dyDescent="0.25">
      <c r="C10" s="6" t="s">
        <v>24</v>
      </c>
      <c r="D10" s="6" t="s">
        <v>25</v>
      </c>
      <c r="E10"/>
      <c r="G10"/>
      <c r="H10"/>
      <c r="I10"/>
      <c r="J10"/>
      <c r="K10"/>
      <c r="L10"/>
      <c r="M10"/>
      <c r="N10"/>
      <c r="O10"/>
      <c r="P10"/>
      <c r="Q10"/>
      <c r="R10"/>
    </row>
    <row r="11" spans="1:18" x14ac:dyDescent="0.2">
      <c r="A11" t="s">
        <v>20</v>
      </c>
      <c r="C11">
        <f>INTERCEPT(G22:G994,F22:F994)</f>
        <v>0.46717104647489299</v>
      </c>
      <c r="D11" s="5"/>
      <c r="E11"/>
      <c r="G11"/>
      <c r="H11"/>
      <c r="I11"/>
      <c r="J11"/>
      <c r="K11"/>
      <c r="L11"/>
      <c r="M11"/>
      <c r="N11"/>
      <c r="O11"/>
      <c r="P11"/>
      <c r="Q11"/>
      <c r="R11"/>
    </row>
    <row r="12" spans="1:18" x14ac:dyDescent="0.2">
      <c r="A12" t="s">
        <v>21</v>
      </c>
      <c r="C12">
        <f>SLOPE(G22:G994,F22:F994)</f>
        <v>-2.9126563793800357E-5</v>
      </c>
      <c r="D12" s="5"/>
      <c r="E12"/>
      <c r="G12"/>
      <c r="H12"/>
      <c r="I12"/>
      <c r="J12"/>
      <c r="K12"/>
      <c r="L12"/>
      <c r="M12"/>
      <c r="N12"/>
      <c r="O12"/>
      <c r="P12"/>
      <c r="Q12"/>
      <c r="R12"/>
    </row>
    <row r="13" spans="1:18" x14ac:dyDescent="0.2">
      <c r="A13" t="s">
        <v>23</v>
      </c>
      <c r="C13" s="5" t="s">
        <v>18</v>
      </c>
      <c r="D13" s="5"/>
      <c r="E13"/>
      <c r="G13"/>
      <c r="H13"/>
      <c r="I13"/>
      <c r="J13"/>
      <c r="K13"/>
      <c r="L13"/>
      <c r="M13"/>
      <c r="N13"/>
      <c r="O13"/>
      <c r="P13"/>
      <c r="Q13"/>
      <c r="R13"/>
    </row>
    <row r="14" spans="1:18" x14ac:dyDescent="0.2">
      <c r="A14" t="s">
        <v>28</v>
      </c>
      <c r="C14"/>
      <c r="D14"/>
      <c r="E14"/>
      <c r="G14"/>
      <c r="H14"/>
      <c r="I14"/>
      <c r="J14"/>
      <c r="K14"/>
      <c r="L14"/>
      <c r="M14"/>
      <c r="N14"/>
      <c r="O14"/>
      <c r="P14"/>
      <c r="Q14"/>
      <c r="R14"/>
    </row>
    <row r="15" spans="1:18" x14ac:dyDescent="0.2">
      <c r="A15" s="4" t="s">
        <v>22</v>
      </c>
      <c r="B15" s="4"/>
      <c r="C15">
        <f>+D15+C8/2</f>
        <v>53123.630480499996</v>
      </c>
      <c r="D15" s="10">
        <v>53123.380499999999</v>
      </c>
      <c r="E15"/>
      <c r="G15"/>
      <c r="H15"/>
      <c r="I15"/>
      <c r="J15"/>
      <c r="K15"/>
      <c r="L15"/>
      <c r="M15"/>
      <c r="N15"/>
      <c r="O15"/>
      <c r="R15"/>
    </row>
    <row r="16" spans="1:18" x14ac:dyDescent="0.2">
      <c r="A16" s="7" t="s">
        <v>8</v>
      </c>
      <c r="B16" s="7"/>
      <c r="C16">
        <f>+C8+C12</f>
        <v>0.49993187343620621</v>
      </c>
      <c r="D16">
        <f>+C$8+D$12+2*D$13*MAX(G21:G45)</f>
        <v>0.49996099999999999</v>
      </c>
      <c r="E16"/>
      <c r="G16"/>
      <c r="H16"/>
      <c r="I16"/>
      <c r="J16"/>
      <c r="K16"/>
      <c r="L16"/>
      <c r="M16"/>
      <c r="N16"/>
      <c r="O16"/>
      <c r="P16"/>
      <c r="Q16"/>
      <c r="R16"/>
    </row>
    <row r="17" spans="1:18" ht="13.5" thickBot="1" x14ac:dyDescent="0.25">
      <c r="C17"/>
      <c r="D17"/>
      <c r="E17"/>
      <c r="G17"/>
      <c r="H17"/>
      <c r="I17"/>
      <c r="J17"/>
      <c r="K17"/>
      <c r="L17"/>
      <c r="M17"/>
      <c r="N17"/>
      <c r="O17"/>
      <c r="P17"/>
      <c r="Q17"/>
      <c r="R17"/>
    </row>
    <row r="18" spans="1:18" ht="14.25" thickTop="1" thickBot="1" x14ac:dyDescent="0.25">
      <c r="A18" s="7" t="s">
        <v>9</v>
      </c>
      <c r="B18" s="7"/>
      <c r="C18" s="2">
        <f>+C15</f>
        <v>53123.630480499996</v>
      </c>
      <c r="D18" s="3">
        <f>+C16</f>
        <v>0.49993187343620621</v>
      </c>
      <c r="E18"/>
      <c r="G18"/>
      <c r="H18"/>
      <c r="I18"/>
      <c r="J18"/>
      <c r="K18"/>
      <c r="L18"/>
      <c r="M18"/>
      <c r="N18"/>
      <c r="O18"/>
      <c r="P18" t="s">
        <v>59</v>
      </c>
      <c r="Q18" s="10">
        <f>SUM(Q22:Q38)</f>
        <v>9.3053665258702095E-2</v>
      </c>
      <c r="R18"/>
    </row>
    <row r="19" spans="1:18" ht="13.5" thickTop="1" x14ac:dyDescent="0.2">
      <c r="C19"/>
      <c r="D19"/>
      <c r="E19"/>
      <c r="G19"/>
      <c r="H19"/>
      <c r="I19"/>
      <c r="J19"/>
      <c r="K19"/>
      <c r="L19"/>
      <c r="M19"/>
      <c r="N19"/>
      <c r="O19"/>
      <c r="P19"/>
      <c r="Q19"/>
      <c r="R19"/>
    </row>
    <row r="20" spans="1:18" ht="13.5" thickBot="1" x14ac:dyDescent="0.25">
      <c r="A20" s="6" t="s">
        <v>10</v>
      </c>
      <c r="B20" s="6" t="s">
        <v>11</v>
      </c>
      <c r="C20" s="6" t="s">
        <v>12</v>
      </c>
      <c r="D20" s="6" t="s">
        <v>17</v>
      </c>
      <c r="E20" s="6" t="s">
        <v>13</v>
      </c>
      <c r="F20" s="6" t="s">
        <v>14</v>
      </c>
      <c r="G20" s="6" t="s">
        <v>15</v>
      </c>
      <c r="H20" s="9" t="s">
        <v>16</v>
      </c>
      <c r="I20" s="9" t="s">
        <v>35</v>
      </c>
      <c r="J20" s="9" t="s">
        <v>38</v>
      </c>
      <c r="K20" s="9" t="s">
        <v>39</v>
      </c>
      <c r="L20" s="9" t="s">
        <v>41</v>
      </c>
      <c r="M20" s="9" t="s">
        <v>42</v>
      </c>
      <c r="N20" s="9" t="s">
        <v>27</v>
      </c>
      <c r="O20" s="8" t="s">
        <v>26</v>
      </c>
      <c r="P20" s="6" t="s">
        <v>19</v>
      </c>
      <c r="Q20" s="23" t="s">
        <v>45</v>
      </c>
      <c r="R20"/>
    </row>
    <row r="21" spans="1:18" x14ac:dyDescent="0.2">
      <c r="A21" t="s">
        <v>16</v>
      </c>
      <c r="B21" s="30"/>
      <c r="C21" s="10">
        <f>+C4</f>
        <v>41945.292000000001</v>
      </c>
      <c r="D21" s="11" t="s">
        <v>18</v>
      </c>
      <c r="E21" s="12">
        <f t="shared" ref="E21:E38" si="0">+(C21-C$7)/C$8</f>
        <v>0</v>
      </c>
      <c r="F21">
        <f t="shared" ref="F21:F30" si="1">ROUND(2*E21,0)/2</f>
        <v>0</v>
      </c>
      <c r="G21" s="10">
        <f t="shared" ref="G21:G38" si="2">+C21-(C$7+F21*C$8)</f>
        <v>0</v>
      </c>
      <c r="H21" s="10">
        <f>+G21</f>
        <v>0</v>
      </c>
      <c r="P21" s="14">
        <f t="shared" ref="P21:P38" si="3">+C21-15018.5</f>
        <v>26926.792000000001</v>
      </c>
    </row>
    <row r="22" spans="1:18" x14ac:dyDescent="0.2">
      <c r="A22" t="s">
        <v>32</v>
      </c>
      <c r="B22" s="30" t="s">
        <v>33</v>
      </c>
      <c r="C22" s="34">
        <v>51243.988499999999</v>
      </c>
      <c r="D22" s="11">
        <v>1.5E-3</v>
      </c>
      <c r="E22" s="12">
        <f t="shared" si="0"/>
        <v>18598.843709809364</v>
      </c>
      <c r="F22">
        <f t="shared" si="1"/>
        <v>18599</v>
      </c>
      <c r="G22" s="10">
        <f t="shared" si="2"/>
        <v>-7.8138999997463543E-2</v>
      </c>
      <c r="J22" s="19">
        <f>+C22-(C$7+F22*C$8)</f>
        <v>-7.8138999997463543E-2</v>
      </c>
      <c r="N22" s="10">
        <f t="shared" ref="N22:N38" si="4">+C$11+C$12*F22</f>
        <v>-7.4553913525999882E-2</v>
      </c>
      <c r="P22" s="14">
        <f t="shared" si="3"/>
        <v>36225.488499999999</v>
      </c>
      <c r="Q22" s="10">
        <f t="shared" ref="Q22:Q33" si="5">+(N22-G22)^2</f>
        <v>1.2852845007871763E-5</v>
      </c>
    </row>
    <row r="23" spans="1:18" x14ac:dyDescent="0.2">
      <c r="A23" t="s">
        <v>35</v>
      </c>
      <c r="B23" s="30" t="s">
        <v>36</v>
      </c>
      <c r="C23" s="10">
        <v>51275.214</v>
      </c>
      <c r="D23" s="11"/>
      <c r="E23" s="12">
        <f t="shared" si="0"/>
        <v>18661.299581367344</v>
      </c>
      <c r="F23">
        <f t="shared" si="1"/>
        <v>18661.5</v>
      </c>
      <c r="G23" s="10">
        <f t="shared" si="2"/>
        <v>-0.10020150000491412</v>
      </c>
      <c r="I23" s="10">
        <f>+G23</f>
        <v>-0.10020150000491412</v>
      </c>
      <c r="N23" s="10">
        <f t="shared" si="4"/>
        <v>-7.6374323763112428E-2</v>
      </c>
      <c r="P23" s="14">
        <f t="shared" si="3"/>
        <v>36256.714</v>
      </c>
      <c r="Q23" s="10">
        <f t="shared" si="5"/>
        <v>5.677343276578792E-4</v>
      </c>
      <c r="R23" s="16"/>
    </row>
    <row r="24" spans="1:18" x14ac:dyDescent="0.2">
      <c r="A24" s="26" t="s">
        <v>35</v>
      </c>
      <c r="B24" s="30" t="s">
        <v>34</v>
      </c>
      <c r="C24" s="10">
        <v>51275.756000000001</v>
      </c>
      <c r="D24" s="11"/>
      <c r="E24" s="12">
        <f t="shared" si="0"/>
        <v>18662.383665925943</v>
      </c>
      <c r="F24">
        <f t="shared" si="1"/>
        <v>18662.5</v>
      </c>
      <c r="G24" s="10">
        <f t="shared" si="2"/>
        <v>-5.8162499997706618E-2</v>
      </c>
      <c r="I24" s="10">
        <f>G24</f>
        <v>-5.8162499997706618E-2</v>
      </c>
      <c r="N24" s="10">
        <f t="shared" si="4"/>
        <v>-7.6403450326906153E-2</v>
      </c>
      <c r="P24" s="14">
        <f t="shared" si="3"/>
        <v>36257.256000000001</v>
      </c>
      <c r="Q24" s="10">
        <f t="shared" si="5"/>
        <v>3.3273226891232462E-4</v>
      </c>
    </row>
    <row r="25" spans="1:18" x14ac:dyDescent="0.2">
      <c r="A25" s="26" t="s">
        <v>35</v>
      </c>
      <c r="B25" s="30" t="s">
        <v>33</v>
      </c>
      <c r="C25" s="10">
        <v>51275.9692</v>
      </c>
      <c r="D25" s="11"/>
      <c r="E25" s="12">
        <f t="shared" si="0"/>
        <v>18662.810099187733</v>
      </c>
      <c r="F25">
        <f t="shared" si="1"/>
        <v>18663</v>
      </c>
      <c r="G25" s="10">
        <f t="shared" si="2"/>
        <v>-9.4943000003695488E-2</v>
      </c>
      <c r="I25" s="10">
        <f>G25</f>
        <v>-9.4943000003695488E-2</v>
      </c>
      <c r="N25" s="10">
        <f t="shared" si="4"/>
        <v>-7.6418013608803126E-2</v>
      </c>
      <c r="P25" s="14">
        <f t="shared" si="3"/>
        <v>36257.4692</v>
      </c>
      <c r="Q25" s="10">
        <f t="shared" si="5"/>
        <v>3.4317512093094709E-4</v>
      </c>
    </row>
    <row r="26" spans="1:18" x14ac:dyDescent="0.2">
      <c r="A26" s="26" t="s">
        <v>32</v>
      </c>
      <c r="B26" s="30" t="s">
        <v>34</v>
      </c>
      <c r="C26" s="10">
        <v>51310.718399999998</v>
      </c>
      <c r="D26" s="11">
        <v>8.9999999999999998E-4</v>
      </c>
      <c r="E26" s="12">
        <f t="shared" si="0"/>
        <v>18732.313920485791</v>
      </c>
      <c r="F26">
        <f t="shared" si="1"/>
        <v>18732.5</v>
      </c>
      <c r="G26" s="10">
        <f t="shared" si="2"/>
        <v>-9.3032500000845175E-2</v>
      </c>
      <c r="J26" s="10">
        <f>+G26</f>
        <v>-9.3032500000845175E-2</v>
      </c>
      <c r="N26" s="10">
        <f t="shared" si="4"/>
        <v>-7.8442309792472187E-2</v>
      </c>
      <c r="P26" s="14">
        <f t="shared" si="3"/>
        <v>36292.218399999998</v>
      </c>
      <c r="Q26" s="10">
        <f t="shared" si="5"/>
        <v>2.1287365031650302E-4</v>
      </c>
      <c r="R26" s="16"/>
    </row>
    <row r="27" spans="1:18" x14ac:dyDescent="0.2">
      <c r="A27" s="26" t="s">
        <v>35</v>
      </c>
      <c r="B27" s="30" t="s">
        <v>37</v>
      </c>
      <c r="C27" s="10">
        <v>51349.731</v>
      </c>
      <c r="D27" s="11"/>
      <c r="E27" s="12">
        <f t="shared" si="0"/>
        <v>18810.345206926137</v>
      </c>
      <c r="F27">
        <f t="shared" si="1"/>
        <v>18810.5</v>
      </c>
      <c r="G27" s="10">
        <f t="shared" si="2"/>
        <v>-7.7390500002366025E-2</v>
      </c>
      <c r="I27" s="10">
        <f>+G27</f>
        <v>-7.7390500002366025E-2</v>
      </c>
      <c r="N27" s="10">
        <f t="shared" si="4"/>
        <v>-8.0714181768388682E-2</v>
      </c>
      <c r="P27" s="14">
        <f t="shared" si="3"/>
        <v>36331.231</v>
      </c>
      <c r="Q27" s="10">
        <f t="shared" si="5"/>
        <v>1.1046860481791488E-5</v>
      </c>
      <c r="R27" s="16"/>
    </row>
    <row r="28" spans="1:18" x14ac:dyDescent="0.2">
      <c r="A28" s="26" t="s">
        <v>40</v>
      </c>
      <c r="B28" s="30" t="s">
        <v>33</v>
      </c>
      <c r="C28" s="10">
        <v>52426.4162</v>
      </c>
      <c r="D28" s="11">
        <v>8.9999999999999998E-4</v>
      </c>
      <c r="E28" s="12">
        <f t="shared" si="0"/>
        <v>20963.883582919465</v>
      </c>
      <c r="F28">
        <f t="shared" si="1"/>
        <v>20964</v>
      </c>
      <c r="G28" s="10">
        <f t="shared" si="2"/>
        <v>-5.8204000000841916E-2</v>
      </c>
      <c r="M28" s="10">
        <f>G28</f>
        <v>-5.8204000000841916E-2</v>
      </c>
      <c r="N28" s="10">
        <f t="shared" si="4"/>
        <v>-0.14343823689833773</v>
      </c>
      <c r="P28" s="14">
        <f t="shared" si="3"/>
        <v>37407.9162</v>
      </c>
      <c r="Q28" s="10">
        <f t="shared" si="5"/>
        <v>7.2648751394984376E-3</v>
      </c>
    </row>
    <row r="29" spans="1:18" x14ac:dyDescent="0.2">
      <c r="A29" s="29" t="s">
        <v>44</v>
      </c>
      <c r="B29" s="20" t="s">
        <v>34</v>
      </c>
      <c r="C29" s="21">
        <v>53114.851999999999</v>
      </c>
      <c r="D29" s="11">
        <v>6.9999999999999999E-4</v>
      </c>
      <c r="E29" s="12">
        <f t="shared" si="0"/>
        <v>22340.862587281805</v>
      </c>
      <c r="F29">
        <f t="shared" si="1"/>
        <v>22341</v>
      </c>
      <c r="G29" s="10">
        <f t="shared" si="2"/>
        <v>-6.8701000003784429E-2</v>
      </c>
      <c r="J29" s="10">
        <f>G29</f>
        <v>-6.8701000003784429E-2</v>
      </c>
      <c r="N29" s="10">
        <f t="shared" si="4"/>
        <v>-0.18354551524240076</v>
      </c>
      <c r="P29" s="14">
        <f t="shared" si="3"/>
        <v>38096.351999999999</v>
      </c>
      <c r="Q29" s="10">
        <f t="shared" si="5"/>
        <v>1.3189262680392779E-2</v>
      </c>
      <c r="R29" s="16"/>
    </row>
    <row r="30" spans="1:18" x14ac:dyDescent="0.2">
      <c r="A30" s="35" t="s">
        <v>56</v>
      </c>
      <c r="B30" s="20"/>
      <c r="C30" s="31">
        <v>53117.409899999999</v>
      </c>
      <c r="D30" s="11">
        <v>1E-3</v>
      </c>
      <c r="E30" s="12">
        <f t="shared" si="0"/>
        <v>22345.978786345331</v>
      </c>
      <c r="F30">
        <f t="shared" si="1"/>
        <v>22346</v>
      </c>
      <c r="G30" s="10">
        <f t="shared" si="2"/>
        <v>-1.0606000003463123E-2</v>
      </c>
      <c r="J30" s="10">
        <f>G30</f>
        <v>-1.0606000003463123E-2</v>
      </c>
      <c r="N30" s="10">
        <f t="shared" si="4"/>
        <v>-0.18369114806136982</v>
      </c>
      <c r="P30" s="14">
        <f t="shared" si="3"/>
        <v>38098.909899999999</v>
      </c>
      <c r="Q30" s="10">
        <f t="shared" si="5"/>
        <v>2.9958468478227484E-2</v>
      </c>
    </row>
    <row r="31" spans="1:18" x14ac:dyDescent="0.2">
      <c r="A31" s="31" t="s">
        <v>49</v>
      </c>
      <c r="B31" s="30" t="s">
        <v>33</v>
      </c>
      <c r="C31" s="10">
        <v>53123.380499999999</v>
      </c>
      <c r="D31" s="11">
        <v>8.0000000000000004E-4</v>
      </c>
      <c r="E31" s="12">
        <f t="shared" si="0"/>
        <v>22357.920917831587</v>
      </c>
      <c r="F31" s="18">
        <f t="shared" ref="F31:F38" si="6">ROUND(2*E31,0)/2+0.5</f>
        <v>22358.5</v>
      </c>
      <c r="G31" s="10">
        <f t="shared" si="2"/>
        <v>-0.28951850000157719</v>
      </c>
      <c r="K31" s="10">
        <f>G31</f>
        <v>-0.28951850000157719</v>
      </c>
      <c r="N31" s="10">
        <f t="shared" si="4"/>
        <v>-0.18405523010879227</v>
      </c>
      <c r="P31" s="14">
        <f t="shared" si="3"/>
        <v>38104.880499999999</v>
      </c>
      <c r="Q31" s="10">
        <f t="shared" si="5"/>
        <v>1.1122501296478396E-2</v>
      </c>
    </row>
    <row r="32" spans="1:18" x14ac:dyDescent="0.2">
      <c r="A32" s="27" t="s">
        <v>39</v>
      </c>
      <c r="B32" s="30" t="s">
        <v>34</v>
      </c>
      <c r="C32" s="10">
        <v>53265.59</v>
      </c>
      <c r="D32" s="11">
        <v>2.0000000000000001E-4</v>
      </c>
      <c r="E32" s="12">
        <f t="shared" si="0"/>
        <v>22642.362104244123</v>
      </c>
      <c r="F32" s="18">
        <f t="shared" si="6"/>
        <v>22643</v>
      </c>
      <c r="G32" s="10">
        <f t="shared" si="2"/>
        <v>-0.31892300000617979</v>
      </c>
      <c r="K32" s="10">
        <f>G32</f>
        <v>-0.31892300000617979</v>
      </c>
      <c r="N32" s="10">
        <f t="shared" si="4"/>
        <v>-0.1923417375081285</v>
      </c>
      <c r="P32" s="14">
        <f t="shared" si="3"/>
        <v>38247.089999999997</v>
      </c>
      <c r="Q32" s="10">
        <f t="shared" si="5"/>
        <v>1.6022816015600568E-2</v>
      </c>
    </row>
    <row r="33" spans="1:17" x14ac:dyDescent="0.2">
      <c r="A33" s="27" t="s">
        <v>39</v>
      </c>
      <c r="B33" s="30" t="s">
        <v>34</v>
      </c>
      <c r="C33" s="10">
        <v>53266.650999999998</v>
      </c>
      <c r="D33" s="22">
        <v>4.0000000000000002E-4</v>
      </c>
      <c r="E33" s="12">
        <f t="shared" si="0"/>
        <v>22644.484269773035</v>
      </c>
      <c r="F33" s="18">
        <f t="shared" si="6"/>
        <v>22645</v>
      </c>
      <c r="G33" s="10">
        <f t="shared" si="2"/>
        <v>-0.25784500000008848</v>
      </c>
      <c r="K33" s="10">
        <f>G33</f>
        <v>-0.25784500000008848</v>
      </c>
      <c r="N33" s="10">
        <f t="shared" si="4"/>
        <v>-0.19239999063571606</v>
      </c>
      <c r="P33" s="14">
        <f t="shared" si="3"/>
        <v>38248.150999999998</v>
      </c>
      <c r="Q33" s="10">
        <f t="shared" si="5"/>
        <v>4.2830492507027933E-3</v>
      </c>
    </row>
    <row r="34" spans="1:17" x14ac:dyDescent="0.2">
      <c r="A34" s="27" t="s">
        <v>39</v>
      </c>
      <c r="B34" s="30" t="s">
        <v>34</v>
      </c>
      <c r="C34" s="10">
        <v>53269.638099999996</v>
      </c>
      <c r="D34" s="11"/>
      <c r="E34" s="12">
        <f t="shared" si="0"/>
        <v>22650.458935796982</v>
      </c>
      <c r="F34" s="18">
        <f t="shared" si="6"/>
        <v>22651</v>
      </c>
      <c r="G34" s="10">
        <f t="shared" si="2"/>
        <v>-0.27051100000244332</v>
      </c>
      <c r="K34" s="10">
        <f>G34</f>
        <v>-0.27051100000244332</v>
      </c>
      <c r="N34" s="10">
        <f t="shared" si="4"/>
        <v>-0.19257475001847896</v>
      </c>
      <c r="P34" s="14">
        <f t="shared" si="3"/>
        <v>38251.138099999996</v>
      </c>
      <c r="Q34" s="10">
        <f>+(N34-G34)^2</f>
        <v>6.0740590615629862E-3</v>
      </c>
    </row>
    <row r="35" spans="1:17" x14ac:dyDescent="0.2">
      <c r="A35" s="32" t="s">
        <v>55</v>
      </c>
      <c r="B35" s="5"/>
      <c r="C35" s="10">
        <v>53499.897199999999</v>
      </c>
      <c r="D35" s="11"/>
      <c r="E35" s="12">
        <f t="shared" si="0"/>
        <v>23111.013059018602</v>
      </c>
      <c r="F35" s="18">
        <f t="shared" si="6"/>
        <v>23111.5</v>
      </c>
      <c r="G35" s="10">
        <f t="shared" si="2"/>
        <v>-0.2434514999986277</v>
      </c>
      <c r="J35" s="10">
        <f>G35</f>
        <v>-0.2434514999986277</v>
      </c>
      <c r="N35" s="10">
        <f t="shared" si="4"/>
        <v>-0.205987532645524</v>
      </c>
      <c r="P35" s="14">
        <f t="shared" si="3"/>
        <v>38481.397199999999</v>
      </c>
      <c r="Q35" s="10">
        <f>+(N35-G35)^2</f>
        <v>1.4035488498344198E-3</v>
      </c>
    </row>
    <row r="36" spans="1:17" x14ac:dyDescent="0.2">
      <c r="A36" s="22" t="s">
        <v>58</v>
      </c>
      <c r="B36" s="21"/>
      <c r="C36" s="31">
        <v>53515.460400000004</v>
      </c>
      <c r="D36" s="11"/>
      <c r="E36" s="12">
        <f t="shared" si="0"/>
        <v>23142.141887067195</v>
      </c>
      <c r="F36" s="18">
        <f t="shared" si="6"/>
        <v>23142.5</v>
      </c>
      <c r="G36" s="10">
        <f t="shared" si="2"/>
        <v>-0.17904249999992317</v>
      </c>
      <c r="J36" s="10">
        <f>G36</f>
        <v>-0.17904249999992317</v>
      </c>
      <c r="N36" s="10">
        <f t="shared" si="4"/>
        <v>-0.20689045612313178</v>
      </c>
      <c r="P36" s="14">
        <f t="shared" si="3"/>
        <v>38496.960400000004</v>
      </c>
      <c r="Q36" s="10">
        <f>+(N36-G36)^2</f>
        <v>7.7550866024015232E-4</v>
      </c>
    </row>
    <row r="37" spans="1:17" x14ac:dyDescent="0.2">
      <c r="A37" s="22" t="s">
        <v>58</v>
      </c>
      <c r="B37" s="21"/>
      <c r="C37" s="31">
        <v>53518.447899999999</v>
      </c>
      <c r="D37" s="11"/>
      <c r="E37" s="12">
        <f t="shared" si="0"/>
        <v>23148.117353153542</v>
      </c>
      <c r="F37" s="18">
        <f t="shared" si="6"/>
        <v>23148.5</v>
      </c>
      <c r="G37" s="10">
        <f t="shared" si="2"/>
        <v>-0.19130849999783095</v>
      </c>
      <c r="J37" s="10">
        <f>G37</f>
        <v>-0.19130849999783095</v>
      </c>
      <c r="N37" s="10">
        <f t="shared" si="4"/>
        <v>-0.20706521550589457</v>
      </c>
      <c r="P37" s="14">
        <f t="shared" si="3"/>
        <v>38499.947899999999</v>
      </c>
      <c r="Q37" s="10">
        <f>+(N37-G37)^2</f>
        <v>2.4827408360205268E-4</v>
      </c>
    </row>
    <row r="38" spans="1:17" x14ac:dyDescent="0.2">
      <c r="A38" s="22" t="s">
        <v>58</v>
      </c>
      <c r="B38" s="21"/>
      <c r="C38" s="31">
        <v>53847.422400000003</v>
      </c>
      <c r="D38" s="11"/>
      <c r="E38" s="12">
        <f t="shared" si="0"/>
        <v>23806.117677178823</v>
      </c>
      <c r="F38" s="18">
        <f t="shared" si="6"/>
        <v>23806.5</v>
      </c>
      <c r="G38" s="10">
        <f t="shared" si="2"/>
        <v>-0.19114649999391986</v>
      </c>
      <c r="J38" s="10">
        <f>G38</f>
        <v>-0.19114649999391986</v>
      </c>
      <c r="N38" s="10">
        <f t="shared" si="4"/>
        <v>-0.22623049448221516</v>
      </c>
      <c r="P38" s="14">
        <f t="shared" si="3"/>
        <v>38828.922400000003</v>
      </c>
      <c r="Q38" s="10">
        <f>+(N38-G38)^2</f>
        <v>1.230886669254735E-3</v>
      </c>
    </row>
    <row r="39" spans="1:17" x14ac:dyDescent="0.2">
      <c r="D39" s="11"/>
    </row>
    <row r="40" spans="1:17" x14ac:dyDescent="0.2">
      <c r="D40" s="11"/>
    </row>
    <row r="41" spans="1:17" x14ac:dyDescent="0.2">
      <c r="D41" s="11"/>
    </row>
    <row r="42" spans="1:17" x14ac:dyDescent="0.2">
      <c r="D42" s="11"/>
    </row>
    <row r="43" spans="1:17" x14ac:dyDescent="0.2">
      <c r="D43" s="11"/>
    </row>
    <row r="44" spans="1:17" x14ac:dyDescent="0.2">
      <c r="D44" s="11"/>
    </row>
    <row r="45" spans="1:17" x14ac:dyDescent="0.2">
      <c r="D45" s="11"/>
    </row>
    <row r="46" spans="1:17" x14ac:dyDescent="0.2">
      <c r="D46" s="11"/>
    </row>
    <row r="47" spans="1:17" x14ac:dyDescent="0.2">
      <c r="D47" s="11"/>
    </row>
  </sheetData>
  <sheetProtection sheet="1" objects="1" scenarios="1"/>
  <phoneticPr fontId="9" type="noConversion"/>
  <pageMargins left="0.75" right="0.75" top="1" bottom="1" header="0.5" footer="0.5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R47"/>
  <sheetViews>
    <sheetView workbookViewId="0"/>
  </sheetViews>
  <sheetFormatPr defaultColWidth="10.28515625" defaultRowHeight="12.75" x14ac:dyDescent="0.2"/>
  <cols>
    <col min="1" max="1" width="15.7109375" customWidth="1"/>
    <col min="2" max="2" width="4.140625" customWidth="1"/>
    <col min="3" max="3" width="11.85546875" style="10" customWidth="1"/>
    <col min="4" max="4" width="11" style="10" customWidth="1"/>
    <col min="5" max="5" width="9.140625" style="12" customWidth="1"/>
    <col min="6" max="6" width="9.140625" customWidth="1"/>
    <col min="7" max="7" width="8.140625" style="10" customWidth="1"/>
    <col min="8" max="13" width="8.5703125" style="10" customWidth="1"/>
    <col min="14" max="14" width="8" style="10" customWidth="1"/>
    <col min="15" max="15" width="7.7109375" style="10" customWidth="1"/>
    <col min="16" max="16" width="10.42578125" style="14" customWidth="1"/>
    <col min="17" max="17" width="9.140625" style="13" customWidth="1"/>
    <col min="18" max="18" width="18.7109375" style="13" bestFit="1" customWidth="1"/>
  </cols>
  <sheetData>
    <row r="1" spans="1:18" ht="20.25" x14ac:dyDescent="0.3">
      <c r="A1" s="1" t="s">
        <v>30</v>
      </c>
      <c r="B1" s="1"/>
      <c r="C1" s="17" t="s">
        <v>43</v>
      </c>
      <c r="D1"/>
      <c r="E1"/>
      <c r="G1"/>
      <c r="H1"/>
      <c r="I1"/>
      <c r="J1"/>
      <c r="K1"/>
      <c r="L1"/>
      <c r="M1"/>
      <c r="N1"/>
      <c r="O1"/>
      <c r="P1"/>
      <c r="Q1"/>
      <c r="R1"/>
    </row>
    <row r="2" spans="1:18" x14ac:dyDescent="0.2">
      <c r="A2" t="s">
        <v>29</v>
      </c>
      <c r="B2" t="s">
        <v>31</v>
      </c>
      <c r="C2"/>
      <c r="D2"/>
      <c r="E2"/>
      <c r="G2"/>
      <c r="H2"/>
      <c r="I2"/>
      <c r="J2"/>
      <c r="K2"/>
      <c r="L2"/>
      <c r="M2"/>
      <c r="N2"/>
      <c r="O2"/>
      <c r="P2"/>
      <c r="Q2"/>
      <c r="R2"/>
    </row>
    <row r="3" spans="1:18" ht="13.5" thickBot="1" x14ac:dyDescent="0.25">
      <c r="C3"/>
      <c r="D3"/>
      <c r="E3"/>
      <c r="G3"/>
      <c r="H3"/>
      <c r="I3"/>
      <c r="J3"/>
      <c r="K3"/>
      <c r="L3"/>
      <c r="M3"/>
      <c r="N3"/>
      <c r="O3"/>
      <c r="P3"/>
      <c r="Q3"/>
      <c r="R3"/>
    </row>
    <row r="4" spans="1:18" ht="14.25" thickTop="1" thickBot="1" x14ac:dyDescent="0.25">
      <c r="A4" s="7" t="s">
        <v>4</v>
      </c>
      <c r="B4" s="7"/>
      <c r="C4" s="2">
        <v>41945.292000000001</v>
      </c>
      <c r="D4" s="3">
        <v>0.54200000000000004</v>
      </c>
      <c r="E4"/>
      <c r="G4"/>
      <c r="H4"/>
      <c r="I4"/>
      <c r="J4"/>
      <c r="K4"/>
      <c r="L4"/>
      <c r="M4"/>
      <c r="N4"/>
      <c r="O4"/>
      <c r="P4"/>
      <c r="Q4"/>
      <c r="R4"/>
    </row>
    <row r="5" spans="1:18" ht="13.5" thickTop="1" x14ac:dyDescent="0.2">
      <c r="C5"/>
      <c r="D5"/>
      <c r="E5"/>
      <c r="G5"/>
      <c r="H5"/>
      <c r="I5"/>
      <c r="J5"/>
      <c r="K5"/>
      <c r="L5"/>
      <c r="M5"/>
      <c r="N5"/>
      <c r="O5"/>
      <c r="P5"/>
      <c r="Q5"/>
      <c r="R5"/>
    </row>
    <row r="6" spans="1:18" x14ac:dyDescent="0.2">
      <c r="A6" s="7" t="s">
        <v>5</v>
      </c>
      <c r="B6" s="7"/>
      <c r="C6"/>
      <c r="D6"/>
      <c r="E6"/>
      <c r="G6"/>
      <c r="H6"/>
      <c r="I6"/>
      <c r="J6"/>
      <c r="K6"/>
      <c r="L6"/>
      <c r="M6"/>
      <c r="N6"/>
      <c r="O6"/>
      <c r="P6"/>
      <c r="Q6"/>
      <c r="R6"/>
    </row>
    <row r="7" spans="1:18" x14ac:dyDescent="0.2">
      <c r="A7" t="s">
        <v>6</v>
      </c>
      <c r="C7" s="10">
        <v>41945.292000000001</v>
      </c>
      <c r="D7" s="17"/>
      <c r="E7"/>
      <c r="G7"/>
      <c r="H7"/>
      <c r="I7"/>
      <c r="J7"/>
      <c r="K7"/>
      <c r="L7"/>
      <c r="M7"/>
      <c r="N7"/>
      <c r="O7"/>
      <c r="P7"/>
      <c r="Q7"/>
      <c r="R7"/>
    </row>
    <row r="8" spans="1:18" x14ac:dyDescent="0.2">
      <c r="A8" t="s">
        <v>7</v>
      </c>
      <c r="C8" s="15">
        <v>0.42640800000000001</v>
      </c>
      <c r="D8" s="38" t="s">
        <v>63</v>
      </c>
      <c r="E8"/>
      <c r="G8"/>
      <c r="H8"/>
      <c r="I8"/>
      <c r="J8"/>
      <c r="K8"/>
      <c r="L8"/>
      <c r="M8"/>
      <c r="N8"/>
      <c r="O8"/>
      <c r="P8"/>
      <c r="Q8"/>
      <c r="R8"/>
    </row>
    <row r="9" spans="1:18" x14ac:dyDescent="0.2">
      <c r="A9" s="24" t="s">
        <v>46</v>
      </c>
      <c r="C9" s="25"/>
      <c r="E9"/>
      <c r="G9"/>
      <c r="H9"/>
      <c r="I9"/>
      <c r="J9"/>
      <c r="K9"/>
      <c r="L9"/>
      <c r="M9"/>
      <c r="N9"/>
      <c r="O9"/>
      <c r="P9"/>
      <c r="Q9"/>
      <c r="R9"/>
    </row>
    <row r="10" spans="1:18" ht="13.5" thickBot="1" x14ac:dyDescent="0.25">
      <c r="C10" s="6" t="s">
        <v>24</v>
      </c>
      <c r="D10" s="6" t="s">
        <v>25</v>
      </c>
      <c r="E10"/>
      <c r="G10"/>
      <c r="H10"/>
      <c r="I10"/>
      <c r="J10"/>
      <c r="K10"/>
      <c r="L10"/>
      <c r="M10"/>
      <c r="N10"/>
      <c r="O10"/>
      <c r="P10"/>
      <c r="Q10"/>
      <c r="R10"/>
    </row>
    <row r="11" spans="1:18" x14ac:dyDescent="0.2">
      <c r="A11" t="s">
        <v>20</v>
      </c>
      <c r="C11">
        <f>INTERCEPT(G22:G994,F22:F994)</f>
        <v>1.4481584973394128E-2</v>
      </c>
      <c r="D11" s="5"/>
      <c r="E11"/>
      <c r="G11"/>
      <c r="H11"/>
      <c r="I11"/>
      <c r="J11"/>
      <c r="K11"/>
      <c r="L11"/>
      <c r="M11"/>
      <c r="N11"/>
      <c r="O11"/>
      <c r="P11"/>
      <c r="Q11"/>
      <c r="R11"/>
    </row>
    <row r="12" spans="1:18" x14ac:dyDescent="0.2">
      <c r="A12" t="s">
        <v>21</v>
      </c>
      <c r="C12">
        <f>SLOPE(G22:G994,F22:F994)</f>
        <v>4.0920693137186883E-8</v>
      </c>
      <c r="D12" s="5"/>
      <c r="E12"/>
      <c r="G12"/>
      <c r="H12"/>
      <c r="I12"/>
      <c r="J12"/>
      <c r="K12"/>
      <c r="L12"/>
      <c r="M12"/>
      <c r="N12"/>
      <c r="O12"/>
      <c r="P12"/>
      <c r="Q12"/>
      <c r="R12"/>
    </row>
    <row r="13" spans="1:18" x14ac:dyDescent="0.2">
      <c r="A13" t="s">
        <v>23</v>
      </c>
      <c r="C13" s="5" t="s">
        <v>18</v>
      </c>
      <c r="D13" s="5"/>
      <c r="E13"/>
      <c r="G13"/>
      <c r="H13"/>
      <c r="I13"/>
      <c r="J13"/>
      <c r="K13"/>
      <c r="L13"/>
      <c r="M13"/>
      <c r="N13"/>
      <c r="O13"/>
      <c r="P13"/>
      <c r="Q13"/>
      <c r="R13"/>
    </row>
    <row r="14" spans="1:18" x14ac:dyDescent="0.2">
      <c r="A14" t="s">
        <v>28</v>
      </c>
      <c r="C14"/>
      <c r="D14"/>
      <c r="E14"/>
      <c r="G14"/>
      <c r="H14"/>
      <c r="I14"/>
      <c r="J14"/>
      <c r="K14"/>
      <c r="L14"/>
      <c r="M14"/>
      <c r="N14"/>
      <c r="O14"/>
      <c r="P14"/>
      <c r="Q14"/>
      <c r="R14"/>
    </row>
    <row r="15" spans="1:18" x14ac:dyDescent="0.2">
      <c r="A15" s="4" t="s">
        <v>22</v>
      </c>
      <c r="B15" s="4"/>
      <c r="C15">
        <f>+D15+C8/2</f>
        <v>53123.593703999999</v>
      </c>
      <c r="D15" s="10">
        <v>53123.380499999999</v>
      </c>
      <c r="E15"/>
      <c r="G15"/>
      <c r="H15"/>
      <c r="I15"/>
      <c r="J15"/>
      <c r="K15"/>
      <c r="L15"/>
      <c r="M15"/>
      <c r="N15"/>
      <c r="O15"/>
      <c r="R15"/>
    </row>
    <row r="16" spans="1:18" x14ac:dyDescent="0.2">
      <c r="A16" s="7" t="s">
        <v>8</v>
      </c>
      <c r="B16" s="7"/>
      <c r="C16">
        <f>+C8+C12</f>
        <v>0.42640804092069312</v>
      </c>
      <c r="D16">
        <f>+C$8+D$12+2*D$13*MAX(G21:G45)</f>
        <v>0.42640800000000001</v>
      </c>
      <c r="E16"/>
      <c r="G16"/>
      <c r="H16"/>
      <c r="I16"/>
      <c r="J16"/>
      <c r="K16"/>
      <c r="L16"/>
      <c r="M16"/>
      <c r="N16"/>
      <c r="O16"/>
      <c r="P16"/>
      <c r="Q16"/>
      <c r="R16"/>
    </row>
    <row r="17" spans="1:18" ht="13.5" thickBot="1" x14ac:dyDescent="0.25">
      <c r="C17"/>
      <c r="D17"/>
      <c r="E17"/>
      <c r="G17"/>
      <c r="H17"/>
      <c r="I17"/>
      <c r="J17"/>
      <c r="K17"/>
      <c r="L17"/>
      <c r="M17"/>
      <c r="N17"/>
      <c r="O17"/>
      <c r="P17"/>
      <c r="Q17"/>
      <c r="R17"/>
    </row>
    <row r="18" spans="1:18" ht="14.25" thickTop="1" thickBot="1" x14ac:dyDescent="0.25">
      <c r="A18" s="7" t="s">
        <v>9</v>
      </c>
      <c r="B18" s="7"/>
      <c r="C18" s="2">
        <f>+C15</f>
        <v>53123.593703999999</v>
      </c>
      <c r="D18" s="3">
        <f>+C16</f>
        <v>0.42640804092069312</v>
      </c>
      <c r="E18"/>
      <c r="G18"/>
      <c r="H18"/>
      <c r="I18"/>
      <c r="J18"/>
      <c r="K18"/>
      <c r="L18"/>
      <c r="M18"/>
      <c r="N18"/>
      <c r="O18"/>
      <c r="P18" t="s">
        <v>59</v>
      </c>
      <c r="Q18" s="10">
        <f>SUM(Q22:Q38)</f>
        <v>2.9303135985406643E-4</v>
      </c>
      <c r="R18"/>
    </row>
    <row r="19" spans="1:18" ht="13.5" thickTop="1" x14ac:dyDescent="0.2">
      <c r="C19"/>
      <c r="D19"/>
      <c r="E19"/>
      <c r="G19"/>
      <c r="H19"/>
      <c r="I19"/>
      <c r="J19"/>
      <c r="K19"/>
      <c r="L19"/>
      <c r="M19"/>
      <c r="N19"/>
      <c r="O19"/>
      <c r="P19"/>
      <c r="Q19"/>
      <c r="R19"/>
    </row>
    <row r="20" spans="1:18" ht="13.5" thickBot="1" x14ac:dyDescent="0.25">
      <c r="A20" s="6" t="s">
        <v>10</v>
      </c>
      <c r="B20" s="6" t="s">
        <v>11</v>
      </c>
      <c r="C20" s="6" t="s">
        <v>12</v>
      </c>
      <c r="D20" s="6" t="s">
        <v>17</v>
      </c>
      <c r="E20" s="6" t="s">
        <v>13</v>
      </c>
      <c r="F20" s="6" t="s">
        <v>14</v>
      </c>
      <c r="G20" s="6" t="s">
        <v>15</v>
      </c>
      <c r="H20" s="9" t="s">
        <v>16</v>
      </c>
      <c r="I20" s="9" t="s">
        <v>35</v>
      </c>
      <c r="J20" s="9" t="s">
        <v>38</v>
      </c>
      <c r="K20" s="9" t="s">
        <v>39</v>
      </c>
      <c r="L20" s="9" t="s">
        <v>41</v>
      </c>
      <c r="M20" s="9" t="s">
        <v>42</v>
      </c>
      <c r="N20" s="9" t="s">
        <v>27</v>
      </c>
      <c r="O20" s="8" t="s">
        <v>26</v>
      </c>
      <c r="P20" s="6" t="s">
        <v>19</v>
      </c>
      <c r="Q20" s="23" t="s">
        <v>45</v>
      </c>
      <c r="R20"/>
    </row>
    <row r="21" spans="1:18" x14ac:dyDescent="0.2">
      <c r="A21" t="s">
        <v>16</v>
      </c>
      <c r="B21" s="30"/>
      <c r="C21" s="10">
        <f>+C4</f>
        <v>41945.292000000001</v>
      </c>
      <c r="D21" s="11" t="s">
        <v>18</v>
      </c>
      <c r="E21" s="12">
        <f t="shared" ref="E21:E38" si="0">+(C21-C$7)/C$8</f>
        <v>0</v>
      </c>
      <c r="F21">
        <f t="shared" ref="F21:F38" si="1">ROUND(2*E21,0)/2</f>
        <v>0</v>
      </c>
      <c r="G21" s="10">
        <f t="shared" ref="G21:G38" si="2">+C21-(C$7+F21*C$8)</f>
        <v>0</v>
      </c>
      <c r="H21" s="10">
        <f>+G21</f>
        <v>0</v>
      </c>
      <c r="P21" s="14">
        <f t="shared" ref="P21:P38" si="3">+C21-15018.5</f>
        <v>26926.792000000001</v>
      </c>
    </row>
    <row r="22" spans="1:18" x14ac:dyDescent="0.2">
      <c r="A22" t="s">
        <v>32</v>
      </c>
      <c r="B22" s="30" t="s">
        <v>33</v>
      </c>
      <c r="C22" s="34">
        <v>51243.988499999999</v>
      </c>
      <c r="D22" s="11">
        <v>1.5E-3</v>
      </c>
      <c r="E22" s="12">
        <f t="shared" si="0"/>
        <v>21807.040440141831</v>
      </c>
      <c r="F22">
        <f t="shared" si="1"/>
        <v>21807</v>
      </c>
      <c r="G22" s="10">
        <f t="shared" si="2"/>
        <v>1.724399999511661E-2</v>
      </c>
      <c r="J22" s="19">
        <f>+C22-(C$7+F22*C$8)</f>
        <v>1.724399999511661E-2</v>
      </c>
      <c r="N22" s="10">
        <f t="shared" ref="N22:N38" si="4">+C$11+C$12*F22</f>
        <v>1.5373942528636763E-2</v>
      </c>
      <c r="P22" s="14">
        <f t="shared" si="3"/>
        <v>36225.488499999999</v>
      </c>
      <c r="Q22" s="10">
        <f t="shared" ref="Q22:Q38" si="5">+(N22-G22)^2</f>
        <v>3.4971149279370255E-6</v>
      </c>
    </row>
    <row r="23" spans="1:18" x14ac:dyDescent="0.2">
      <c r="A23" t="s">
        <v>35</v>
      </c>
      <c r="B23" s="30" t="s">
        <v>36</v>
      </c>
      <c r="C23" s="10">
        <v>51275.214</v>
      </c>
      <c r="D23" s="11"/>
      <c r="E23" s="12">
        <f t="shared" si="0"/>
        <v>21880.269600945569</v>
      </c>
      <c r="F23">
        <f t="shared" si="1"/>
        <v>21880.5</v>
      </c>
      <c r="I23" s="10">
        <v>-9.8244000000704546E-2</v>
      </c>
      <c r="N23" s="10">
        <f t="shared" si="4"/>
        <v>1.5376950199582346E-2</v>
      </c>
      <c r="P23" s="14">
        <f t="shared" si="3"/>
        <v>36256.714</v>
      </c>
      <c r="Q23" s="10">
        <f t="shared" si="5"/>
        <v>2.3645059744043553E-4</v>
      </c>
      <c r="R23" s="16"/>
    </row>
    <row r="24" spans="1:18" x14ac:dyDescent="0.2">
      <c r="A24" s="26" t="s">
        <v>35</v>
      </c>
      <c r="B24" s="30" t="s">
        <v>34</v>
      </c>
      <c r="C24" s="10">
        <v>51275.756000000001</v>
      </c>
      <c r="D24" s="11"/>
      <c r="E24" s="12">
        <f t="shared" si="0"/>
        <v>21881.540684039697</v>
      </c>
      <c r="F24">
        <f t="shared" si="1"/>
        <v>21881.5</v>
      </c>
      <c r="G24" s="10">
        <f t="shared" si="2"/>
        <v>1.7348000001220498E-2</v>
      </c>
      <c r="I24" s="10">
        <f>G24</f>
        <v>1.7348000001220498E-2</v>
      </c>
      <c r="N24" s="10">
        <f t="shared" si="4"/>
        <v>1.5376991120275484E-2</v>
      </c>
      <c r="P24" s="14">
        <f t="shared" si="3"/>
        <v>36257.256000000001</v>
      </c>
      <c r="Q24" s="10">
        <f t="shared" si="5"/>
        <v>3.8848760087641187E-6</v>
      </c>
    </row>
    <row r="25" spans="1:18" x14ac:dyDescent="0.2">
      <c r="A25" s="26" t="s">
        <v>35</v>
      </c>
      <c r="B25" s="30" t="s">
        <v>33</v>
      </c>
      <c r="C25" s="10">
        <v>51275.9692</v>
      </c>
      <c r="D25" s="11"/>
      <c r="E25" s="12">
        <f t="shared" si="0"/>
        <v>21882.040674659009</v>
      </c>
      <c r="F25">
        <f t="shared" si="1"/>
        <v>21882</v>
      </c>
      <c r="G25" s="10">
        <f t="shared" si="2"/>
        <v>1.7343999999866355E-2</v>
      </c>
      <c r="I25" s="10">
        <f>G25</f>
        <v>1.7343999999866355E-2</v>
      </c>
      <c r="N25" s="10">
        <f t="shared" si="4"/>
        <v>1.5377011580622052E-2</v>
      </c>
      <c r="P25" s="14">
        <f t="shared" si="3"/>
        <v>36257.4692</v>
      </c>
      <c r="Q25" s="10">
        <f t="shared" si="5"/>
        <v>3.8690434414412043E-6</v>
      </c>
    </row>
    <row r="26" spans="1:18" x14ac:dyDescent="0.2">
      <c r="A26" s="26" t="s">
        <v>32</v>
      </c>
      <c r="B26" s="30" t="s">
        <v>34</v>
      </c>
      <c r="C26" s="10">
        <v>51310.718399999998</v>
      </c>
      <c r="D26" s="11">
        <v>8.9999999999999998E-4</v>
      </c>
      <c r="E26" s="12">
        <f t="shared" si="0"/>
        <v>21963.533517194792</v>
      </c>
      <c r="F26">
        <f t="shared" si="1"/>
        <v>21963.5</v>
      </c>
      <c r="G26" s="10">
        <f t="shared" si="2"/>
        <v>1.4291999992565252E-2</v>
      </c>
      <c r="J26" s="10">
        <f>+G26</f>
        <v>1.4291999992565252E-2</v>
      </c>
      <c r="N26" s="10">
        <f t="shared" si="4"/>
        <v>1.5380346617112732E-2</v>
      </c>
      <c r="P26" s="14">
        <f t="shared" si="3"/>
        <v>36292.218399999998</v>
      </c>
      <c r="Q26" s="10">
        <f t="shared" si="5"/>
        <v>1.1844983751638937E-6</v>
      </c>
      <c r="R26" s="16"/>
    </row>
    <row r="27" spans="1:18" x14ac:dyDescent="0.2">
      <c r="A27" s="26" t="s">
        <v>35</v>
      </c>
      <c r="B27" s="30" t="s">
        <v>37</v>
      </c>
      <c r="C27" s="10">
        <v>51349.731</v>
      </c>
      <c r="D27" s="11"/>
      <c r="E27" s="12">
        <f t="shared" si="0"/>
        <v>22055.024765013786</v>
      </c>
      <c r="F27">
        <f t="shared" si="1"/>
        <v>22055</v>
      </c>
      <c r="G27" s="10">
        <f t="shared" si="2"/>
        <v>1.0559999995166436E-2</v>
      </c>
      <c r="I27" s="10">
        <f>+G27</f>
        <v>1.0559999995166436E-2</v>
      </c>
      <c r="N27" s="10">
        <f t="shared" si="4"/>
        <v>1.5384090860534785E-2</v>
      </c>
      <c r="P27" s="14">
        <f t="shared" si="3"/>
        <v>36331.231</v>
      </c>
      <c r="Q27" s="10">
        <f t="shared" si="5"/>
        <v>2.3271852677330352E-5</v>
      </c>
      <c r="R27" s="16"/>
    </row>
    <row r="28" spans="1:18" x14ac:dyDescent="0.2">
      <c r="A28" s="26" t="s">
        <v>40</v>
      </c>
      <c r="B28" s="30" t="s">
        <v>33</v>
      </c>
      <c r="C28" s="10">
        <v>52426.4162</v>
      </c>
      <c r="D28" s="11">
        <v>8.9999999999999998E-4</v>
      </c>
      <c r="E28" s="12">
        <f t="shared" si="0"/>
        <v>24580.036490872586</v>
      </c>
      <c r="F28">
        <f t="shared" si="1"/>
        <v>24580</v>
      </c>
      <c r="G28" s="10">
        <f t="shared" si="2"/>
        <v>1.5559999999823049E-2</v>
      </c>
      <c r="M28" s="10">
        <f>G28</f>
        <v>1.5559999999823049E-2</v>
      </c>
      <c r="N28" s="10">
        <f t="shared" si="4"/>
        <v>1.5487415610706181E-2</v>
      </c>
      <c r="P28" s="14">
        <f t="shared" si="3"/>
        <v>37407.9162</v>
      </c>
      <c r="Q28" s="10">
        <f t="shared" si="5"/>
        <v>5.2684935434688678E-9</v>
      </c>
    </row>
    <row r="29" spans="1:18" x14ac:dyDescent="0.2">
      <c r="A29" s="29" t="s">
        <v>44</v>
      </c>
      <c r="B29" s="20" t="s">
        <v>34</v>
      </c>
      <c r="C29" s="21">
        <v>53114.851999999999</v>
      </c>
      <c r="D29" s="11">
        <v>6.9999999999999999E-4</v>
      </c>
      <c r="E29" s="12">
        <f t="shared" si="0"/>
        <v>26194.536687867014</v>
      </c>
      <c r="F29">
        <f t="shared" si="1"/>
        <v>26194.5</v>
      </c>
      <c r="G29" s="10">
        <f t="shared" si="2"/>
        <v>1.5643999999156222E-2</v>
      </c>
      <c r="J29" s="10">
        <f>G29</f>
        <v>1.5643999999156222E-2</v>
      </c>
      <c r="N29" s="10">
        <f t="shared" si="4"/>
        <v>1.555348206977617E-2</v>
      </c>
      <c r="P29" s="14">
        <f t="shared" si="3"/>
        <v>38096.351999999999</v>
      </c>
      <c r="Q29" s="10">
        <f t="shared" si="5"/>
        <v>8.1934955392521008E-9</v>
      </c>
      <c r="R29" s="16"/>
    </row>
    <row r="30" spans="1:18" x14ac:dyDescent="0.2">
      <c r="A30" s="35" t="s">
        <v>56</v>
      </c>
      <c r="B30" s="20"/>
      <c r="C30" s="31">
        <v>53117.409899999999</v>
      </c>
      <c r="D30" s="11">
        <v>1E-3</v>
      </c>
      <c r="E30" s="12">
        <f t="shared" si="0"/>
        <v>26200.535402712889</v>
      </c>
      <c r="F30">
        <f t="shared" si="1"/>
        <v>26200.5</v>
      </c>
      <c r="G30" s="10">
        <f t="shared" si="2"/>
        <v>1.5095999995537568E-2</v>
      </c>
      <c r="J30" s="10">
        <f>G30</f>
        <v>1.5095999995537568E-2</v>
      </c>
      <c r="N30" s="10">
        <f t="shared" si="4"/>
        <v>1.5553727593934993E-2</v>
      </c>
      <c r="P30" s="14">
        <f t="shared" si="3"/>
        <v>38098.909899999999</v>
      </c>
      <c r="Q30" s="10">
        <f t="shared" si="5"/>
        <v>2.0951455433467453E-7</v>
      </c>
    </row>
    <row r="31" spans="1:18" x14ac:dyDescent="0.2">
      <c r="A31" s="31" t="s">
        <v>49</v>
      </c>
      <c r="B31" s="30" t="s">
        <v>33</v>
      </c>
      <c r="C31" s="10">
        <v>53123.380499999999</v>
      </c>
      <c r="D31" s="11">
        <v>8.0000000000000004E-4</v>
      </c>
      <c r="E31" s="12">
        <f t="shared" si="0"/>
        <v>26214.537485225414</v>
      </c>
      <c r="F31">
        <f t="shared" si="1"/>
        <v>26214.5</v>
      </c>
      <c r="G31" s="10">
        <f t="shared" si="2"/>
        <v>1.5983999997843057E-2</v>
      </c>
      <c r="K31" s="10">
        <f>G31</f>
        <v>1.5983999997843057E-2</v>
      </c>
      <c r="N31" s="10">
        <f t="shared" si="4"/>
        <v>1.5554300483638914E-2</v>
      </c>
      <c r="P31" s="14">
        <f t="shared" si="3"/>
        <v>38104.880499999999</v>
      </c>
      <c r="Q31" s="10">
        <f t="shared" si="5"/>
        <v>1.8464167250727667E-7</v>
      </c>
    </row>
    <row r="32" spans="1:18" x14ac:dyDescent="0.2">
      <c r="A32" s="27" t="s">
        <v>39</v>
      </c>
      <c r="B32" s="30" t="s">
        <v>34</v>
      </c>
      <c r="C32" s="10">
        <v>53265.59</v>
      </c>
      <c r="D32" s="11">
        <v>2.0000000000000001E-4</v>
      </c>
      <c r="E32" s="12">
        <f t="shared" si="0"/>
        <v>26548.043188683128</v>
      </c>
      <c r="F32">
        <f t="shared" si="1"/>
        <v>26548</v>
      </c>
      <c r="G32" s="10">
        <f t="shared" si="2"/>
        <v>1.8415999991702847E-2</v>
      </c>
      <c r="K32" s="10">
        <f>G32</f>
        <v>1.8415999991702847E-2</v>
      </c>
      <c r="N32" s="10">
        <f t="shared" si="4"/>
        <v>1.5567947534800165E-2</v>
      </c>
      <c r="P32" s="14">
        <f t="shared" si="3"/>
        <v>38247.089999999997</v>
      </c>
      <c r="Q32" s="10">
        <f t="shared" si="5"/>
        <v>8.1114027972694063E-6</v>
      </c>
    </row>
    <row r="33" spans="1:17" x14ac:dyDescent="0.2">
      <c r="A33" s="27" t="s">
        <v>39</v>
      </c>
      <c r="B33" s="30" t="s">
        <v>34</v>
      </c>
      <c r="C33" s="10">
        <v>53266.650999999998</v>
      </c>
      <c r="D33" s="22">
        <v>4.0000000000000002E-4</v>
      </c>
      <c r="E33" s="12">
        <f t="shared" si="0"/>
        <v>26550.531415920894</v>
      </c>
      <c r="F33">
        <f t="shared" si="1"/>
        <v>26550.5</v>
      </c>
      <c r="G33" s="10">
        <f t="shared" si="2"/>
        <v>1.3395999994827434E-2</v>
      </c>
      <c r="K33" s="10">
        <f>G33</f>
        <v>1.3395999994827434E-2</v>
      </c>
      <c r="N33" s="10">
        <f t="shared" si="4"/>
        <v>1.5568049836533008E-2</v>
      </c>
      <c r="P33" s="14">
        <f t="shared" si="3"/>
        <v>38248.150999999998</v>
      </c>
      <c r="Q33" s="10">
        <f t="shared" si="5"/>
        <v>4.7178005148532086E-6</v>
      </c>
    </row>
    <row r="34" spans="1:17" x14ac:dyDescent="0.2">
      <c r="A34" s="27" t="s">
        <v>39</v>
      </c>
      <c r="B34" s="30" t="s">
        <v>34</v>
      </c>
      <c r="C34" s="10">
        <v>53269.638099999996</v>
      </c>
      <c r="D34" s="11"/>
      <c r="E34" s="12">
        <f t="shared" si="0"/>
        <v>26557.536678486322</v>
      </c>
      <c r="F34">
        <f t="shared" si="1"/>
        <v>26557.5</v>
      </c>
      <c r="G34" s="10">
        <f t="shared" si="2"/>
        <v>1.5639999997802079E-2</v>
      </c>
      <c r="K34" s="10">
        <f>G34</f>
        <v>1.5639999997802079E-2</v>
      </c>
      <c r="N34" s="10">
        <f t="shared" si="4"/>
        <v>1.5568336281384969E-2</v>
      </c>
      <c r="P34" s="14">
        <f t="shared" si="3"/>
        <v>38251.138099999996</v>
      </c>
      <c r="Q34" s="10">
        <f t="shared" si="5"/>
        <v>5.1356882507118538E-9</v>
      </c>
    </row>
    <row r="35" spans="1:17" x14ac:dyDescent="0.2">
      <c r="A35" s="32" t="s">
        <v>55</v>
      </c>
      <c r="B35" s="5"/>
      <c r="C35" s="10">
        <v>53499.897199999999</v>
      </c>
      <c r="D35" s="11"/>
      <c r="E35" s="12">
        <f t="shared" si="0"/>
        <v>27097.533817376781</v>
      </c>
      <c r="F35">
        <f t="shared" si="1"/>
        <v>27097.5</v>
      </c>
      <c r="G35" s="10">
        <f t="shared" si="2"/>
        <v>1.4419999999518041E-2</v>
      </c>
      <c r="J35" s="10">
        <f>G35</f>
        <v>1.4419999999518041E-2</v>
      </c>
      <c r="N35" s="10">
        <f t="shared" si="4"/>
        <v>1.5590433455679049E-2</v>
      </c>
      <c r="P35" s="14">
        <f t="shared" si="3"/>
        <v>38481.397199999999</v>
      </c>
      <c r="Q35" s="10">
        <f t="shared" si="5"/>
        <v>1.3699144753010034E-6</v>
      </c>
    </row>
    <row r="36" spans="1:17" x14ac:dyDescent="0.2">
      <c r="A36" s="22" t="s">
        <v>58</v>
      </c>
      <c r="B36" s="21"/>
      <c r="C36" s="31">
        <v>53515.460400000004</v>
      </c>
      <c r="D36" s="11"/>
      <c r="E36" s="12">
        <f t="shared" si="0"/>
        <v>27134.032194517931</v>
      </c>
      <c r="F36">
        <f t="shared" si="1"/>
        <v>27134</v>
      </c>
      <c r="G36" s="10">
        <f t="shared" si="2"/>
        <v>1.3727999998081941E-2</v>
      </c>
      <c r="J36" s="10">
        <f>G36</f>
        <v>1.3727999998081941E-2</v>
      </c>
      <c r="N36" s="10">
        <f t="shared" si="4"/>
        <v>1.5591927060978557E-2</v>
      </c>
      <c r="P36" s="14">
        <f t="shared" si="3"/>
        <v>38496.960400000004</v>
      </c>
      <c r="Q36" s="10">
        <f t="shared" si="5"/>
        <v>3.4742240957984069E-6</v>
      </c>
    </row>
    <row r="37" spans="1:17" x14ac:dyDescent="0.2">
      <c r="A37" s="22" t="s">
        <v>58</v>
      </c>
      <c r="B37" s="21"/>
      <c r="C37" s="31">
        <v>53518.447899999999</v>
      </c>
      <c r="D37" s="11"/>
      <c r="E37" s="12">
        <f t="shared" si="0"/>
        <v>27141.038395152056</v>
      </c>
      <c r="F37">
        <f t="shared" si="1"/>
        <v>27141</v>
      </c>
      <c r="G37" s="10">
        <f t="shared" si="2"/>
        <v>1.6371999998227693E-2</v>
      </c>
      <c r="J37" s="10">
        <f>G37</f>
        <v>1.6371999998227693E-2</v>
      </c>
      <c r="N37" s="10">
        <f t="shared" si="4"/>
        <v>1.5592213505830517E-2</v>
      </c>
      <c r="P37" s="14">
        <f t="shared" si="3"/>
        <v>38499.947899999999</v>
      </c>
      <c r="Q37" s="10">
        <f t="shared" si="5"/>
        <v>6.0806697372509133E-7</v>
      </c>
    </row>
    <row r="38" spans="1:17" x14ac:dyDescent="0.2">
      <c r="A38" s="22" t="s">
        <v>58</v>
      </c>
      <c r="B38" s="21"/>
      <c r="C38" s="31">
        <v>53847.422400000003</v>
      </c>
      <c r="D38" s="11"/>
      <c r="E38" s="12">
        <f t="shared" si="0"/>
        <v>27912.540102437106</v>
      </c>
      <c r="F38">
        <f t="shared" si="1"/>
        <v>27912.5</v>
      </c>
      <c r="G38" s="10">
        <f t="shared" si="2"/>
        <v>1.7100000004575122E-2</v>
      </c>
      <c r="J38" s="10">
        <f>G38</f>
        <v>1.7100000004575122E-2</v>
      </c>
      <c r="N38" s="10">
        <f t="shared" si="4"/>
        <v>1.5623783820585857E-2</v>
      </c>
      <c r="P38" s="14">
        <f t="shared" si="3"/>
        <v>38828.922400000003</v>
      </c>
      <c r="Q38" s="10">
        <f t="shared" si="5"/>
        <v>2.179214221871829E-6</v>
      </c>
    </row>
    <row r="39" spans="1:17" x14ac:dyDescent="0.2">
      <c r="D39" s="11"/>
    </row>
    <row r="40" spans="1:17" x14ac:dyDescent="0.2">
      <c r="D40" s="11"/>
    </row>
    <row r="41" spans="1:17" x14ac:dyDescent="0.2">
      <c r="D41" s="11"/>
    </row>
    <row r="42" spans="1:17" x14ac:dyDescent="0.2">
      <c r="D42" s="11"/>
    </row>
    <row r="43" spans="1:17" x14ac:dyDescent="0.2">
      <c r="D43" s="11"/>
    </row>
    <row r="44" spans="1:17" x14ac:dyDescent="0.2">
      <c r="D44" s="11"/>
    </row>
    <row r="45" spans="1:17" x14ac:dyDescent="0.2">
      <c r="D45" s="11"/>
    </row>
    <row r="46" spans="1:17" x14ac:dyDescent="0.2">
      <c r="D46" s="11"/>
    </row>
    <row r="47" spans="1:17" x14ac:dyDescent="0.2">
      <c r="D47" s="11"/>
    </row>
  </sheetData>
  <sheetProtection sheet="1" objects="1" scenarios="1"/>
  <phoneticPr fontId="9" type="noConversion"/>
  <pageMargins left="0.75" right="0.75" top="1" bottom="1" header="0.5" footer="0.5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P834"/>
  <sheetViews>
    <sheetView topLeftCell="A8" workbookViewId="0">
      <selection activeCell="A31" sqref="A31:D31"/>
    </sheetView>
  </sheetViews>
  <sheetFormatPr defaultRowHeight="12.75" x14ac:dyDescent="0.2"/>
  <cols>
    <col min="1" max="1" width="19.7109375" style="31" customWidth="1"/>
    <col min="2" max="2" width="4.42578125" style="22" customWidth="1"/>
    <col min="3" max="3" width="12.7109375" style="31" customWidth="1"/>
    <col min="4" max="4" width="5.42578125" style="22" customWidth="1"/>
    <col min="5" max="5" width="14.85546875" style="22" customWidth="1"/>
    <col min="6" max="6" width="9.140625" style="22"/>
    <col min="7" max="7" width="12" style="22" customWidth="1"/>
    <col min="8" max="8" width="14.140625" style="31" customWidth="1"/>
    <col min="9" max="9" width="22.5703125" style="22" customWidth="1"/>
    <col min="10" max="10" width="25.140625" style="22" customWidth="1"/>
    <col min="11" max="11" width="15.7109375" style="22" customWidth="1"/>
    <col min="12" max="12" width="14.140625" style="22" customWidth="1"/>
    <col min="13" max="13" width="9.5703125" style="22" customWidth="1"/>
    <col min="14" max="14" width="14.140625" style="22" customWidth="1"/>
    <col min="15" max="15" width="23.42578125" style="22" customWidth="1"/>
    <col min="16" max="16" width="16.5703125" style="22" customWidth="1"/>
    <col min="17" max="17" width="41" style="22" customWidth="1"/>
    <col min="18" max="16384" width="9.140625" style="22"/>
  </cols>
  <sheetData>
    <row r="1" spans="1:16" ht="15.75" x14ac:dyDescent="0.25">
      <c r="A1" s="63" t="s">
        <v>83</v>
      </c>
      <c r="I1" s="64" t="s">
        <v>84</v>
      </c>
      <c r="J1" s="65" t="s">
        <v>85</v>
      </c>
    </row>
    <row r="2" spans="1:16" x14ac:dyDescent="0.2">
      <c r="I2" s="66" t="s">
        <v>86</v>
      </c>
      <c r="J2" s="67" t="s">
        <v>87</v>
      </c>
    </row>
    <row r="3" spans="1:16" x14ac:dyDescent="0.2">
      <c r="A3" s="68" t="s">
        <v>88</v>
      </c>
      <c r="I3" s="66" t="s">
        <v>89</v>
      </c>
      <c r="J3" s="67" t="s">
        <v>90</v>
      </c>
    </row>
    <row r="4" spans="1:16" x14ac:dyDescent="0.2">
      <c r="I4" s="66" t="s">
        <v>91</v>
      </c>
      <c r="J4" s="67" t="s">
        <v>90</v>
      </c>
    </row>
    <row r="5" spans="1:16" ht="13.5" thickBot="1" x14ac:dyDescent="0.25">
      <c r="I5" s="69" t="s">
        <v>92</v>
      </c>
      <c r="J5" s="70" t="s">
        <v>93</v>
      </c>
    </row>
    <row r="10" spans="1:16" ht="13.5" thickBot="1" x14ac:dyDescent="0.25"/>
    <row r="11" spans="1:16" ht="12.75" customHeight="1" thickBot="1" x14ac:dyDescent="0.25">
      <c r="A11" s="31" t="str">
        <f t="shared" ref="A11:A31" si="0">P11</f>
        <v> BBS 128 </v>
      </c>
      <c r="B11" s="5" t="str">
        <f t="shared" ref="B11:B31" si="1">IF(H11=INT(H11),"I","II")</f>
        <v>I</v>
      </c>
      <c r="C11" s="31">
        <f t="shared" ref="C11:C31" si="2">1*G11</f>
        <v>52426.4162</v>
      </c>
      <c r="D11" s="22" t="str">
        <f t="shared" ref="D11:D31" si="3">VLOOKUP(F11,I$1:J$5,2,FALSE)</f>
        <v>vis</v>
      </c>
      <c r="E11" s="71">
        <f>VLOOKUP(C11,Active!C$21:E$972,3,FALSE)</f>
        <v>49160.072981745172</v>
      </c>
      <c r="F11" s="5" t="s">
        <v>92</v>
      </c>
      <c r="G11" s="22" t="str">
        <f t="shared" ref="G11:G31" si="4">MID(I11,3,LEN(I11)-3)</f>
        <v>52426.4162</v>
      </c>
      <c r="H11" s="31">
        <f t="shared" ref="H11:H31" si="5">1*K11</f>
        <v>19338</v>
      </c>
      <c r="I11" s="72" t="s">
        <v>94</v>
      </c>
      <c r="J11" s="73" t="s">
        <v>95</v>
      </c>
      <c r="K11" s="72">
        <v>19338</v>
      </c>
      <c r="L11" s="72" t="s">
        <v>96</v>
      </c>
      <c r="M11" s="73" t="s">
        <v>97</v>
      </c>
      <c r="N11" s="73" t="s">
        <v>98</v>
      </c>
      <c r="O11" s="74" t="s">
        <v>99</v>
      </c>
      <c r="P11" s="74" t="s">
        <v>100</v>
      </c>
    </row>
    <row r="12" spans="1:16" ht="12.75" customHeight="1" thickBot="1" x14ac:dyDescent="0.25">
      <c r="A12" s="31" t="str">
        <f t="shared" si="0"/>
        <v>IBVS 5603 </v>
      </c>
      <c r="B12" s="5" t="str">
        <f t="shared" si="1"/>
        <v>I</v>
      </c>
      <c r="C12" s="31">
        <f t="shared" si="2"/>
        <v>53114.851999999999</v>
      </c>
      <c r="D12" s="22" t="str">
        <f t="shared" si="3"/>
        <v>vis</v>
      </c>
      <c r="E12" s="71">
        <f>VLOOKUP(C12,Active!C$21:E$972,3,FALSE)</f>
        <v>52389.073375734028</v>
      </c>
      <c r="F12" s="5" t="s">
        <v>92</v>
      </c>
      <c r="G12" s="22" t="str">
        <f t="shared" si="4"/>
        <v>53114.8520</v>
      </c>
      <c r="H12" s="31">
        <f t="shared" si="5"/>
        <v>20608</v>
      </c>
      <c r="I12" s="72" t="s">
        <v>101</v>
      </c>
      <c r="J12" s="73" t="s">
        <v>102</v>
      </c>
      <c r="K12" s="72">
        <v>20608</v>
      </c>
      <c r="L12" s="72" t="s">
        <v>103</v>
      </c>
      <c r="M12" s="73" t="s">
        <v>97</v>
      </c>
      <c r="N12" s="73" t="s">
        <v>98</v>
      </c>
      <c r="O12" s="74" t="s">
        <v>104</v>
      </c>
      <c r="P12" s="75" t="s">
        <v>105</v>
      </c>
    </row>
    <row r="13" spans="1:16" ht="12.75" customHeight="1" thickBot="1" x14ac:dyDescent="0.25">
      <c r="A13" s="31" t="str">
        <f t="shared" si="0"/>
        <v>BAVM 173 </v>
      </c>
      <c r="B13" s="5" t="str">
        <f t="shared" si="1"/>
        <v>I</v>
      </c>
      <c r="C13" s="31">
        <f t="shared" si="2"/>
        <v>53117.409899999999</v>
      </c>
      <c r="D13" s="22" t="str">
        <f t="shared" si="3"/>
        <v>vis</v>
      </c>
      <c r="E13" s="71">
        <f>VLOOKUP(C13,Active!C$21:E$972,3,FALSE)</f>
        <v>52401.070805425778</v>
      </c>
      <c r="F13" s="5" t="s">
        <v>92</v>
      </c>
      <c r="G13" s="22" t="str">
        <f t="shared" si="4"/>
        <v>53117.4099</v>
      </c>
      <c r="H13" s="31">
        <f t="shared" si="5"/>
        <v>20613</v>
      </c>
      <c r="I13" s="72" t="s">
        <v>106</v>
      </c>
      <c r="J13" s="73" t="s">
        <v>107</v>
      </c>
      <c r="K13" s="72">
        <v>20613</v>
      </c>
      <c r="L13" s="72" t="s">
        <v>108</v>
      </c>
      <c r="M13" s="73" t="s">
        <v>97</v>
      </c>
      <c r="N13" s="73" t="s">
        <v>109</v>
      </c>
      <c r="O13" s="74" t="s">
        <v>110</v>
      </c>
      <c r="P13" s="75" t="s">
        <v>111</v>
      </c>
    </row>
    <row r="14" spans="1:16" ht="12.75" customHeight="1" thickBot="1" x14ac:dyDescent="0.25">
      <c r="A14" s="31" t="str">
        <f t="shared" si="0"/>
        <v>IBVS 5690 </v>
      </c>
      <c r="B14" s="5" t="str">
        <f t="shared" si="1"/>
        <v>I</v>
      </c>
      <c r="C14" s="31">
        <f t="shared" si="2"/>
        <v>53265.59</v>
      </c>
      <c r="D14" s="22" t="str">
        <f t="shared" si="3"/>
        <v>vis</v>
      </c>
      <c r="E14" s="71">
        <f>VLOOKUP(C14,Active!C$21:E$972,3,FALSE)</f>
        <v>53096.086377366257</v>
      </c>
      <c r="F14" s="5" t="s">
        <v>92</v>
      </c>
      <c r="G14" s="22" t="str">
        <f t="shared" si="4"/>
        <v>53265.5900</v>
      </c>
      <c r="H14" s="31">
        <f t="shared" si="5"/>
        <v>20886</v>
      </c>
      <c r="I14" s="72" t="s">
        <v>112</v>
      </c>
      <c r="J14" s="73" t="s">
        <v>113</v>
      </c>
      <c r="K14" s="72">
        <v>20886</v>
      </c>
      <c r="L14" s="72" t="s">
        <v>114</v>
      </c>
      <c r="M14" s="73" t="s">
        <v>115</v>
      </c>
      <c r="N14" s="73" t="s">
        <v>109</v>
      </c>
      <c r="O14" s="74" t="s">
        <v>116</v>
      </c>
      <c r="P14" s="75" t="s">
        <v>117</v>
      </c>
    </row>
    <row r="15" spans="1:16" ht="12.75" customHeight="1" thickBot="1" x14ac:dyDescent="0.25">
      <c r="A15" s="31" t="str">
        <f t="shared" si="0"/>
        <v>IBVS 5690 </v>
      </c>
      <c r="B15" s="5" t="str">
        <f t="shared" si="1"/>
        <v>I</v>
      </c>
      <c r="C15" s="31">
        <f t="shared" si="2"/>
        <v>53266.650999999998</v>
      </c>
      <c r="D15" s="22" t="str">
        <f t="shared" si="3"/>
        <v>vis</v>
      </c>
      <c r="E15" s="71">
        <f>VLOOKUP(C15,Active!C$21:E$972,3,FALSE)</f>
        <v>53101.062831841788</v>
      </c>
      <c r="F15" s="5" t="s">
        <v>92</v>
      </c>
      <c r="G15" s="22" t="str">
        <f t="shared" si="4"/>
        <v>53266.6510</v>
      </c>
      <c r="H15" s="31">
        <f t="shared" si="5"/>
        <v>20888</v>
      </c>
      <c r="I15" s="72" t="s">
        <v>118</v>
      </c>
      <c r="J15" s="73" t="s">
        <v>119</v>
      </c>
      <c r="K15" s="72">
        <v>20888</v>
      </c>
      <c r="L15" s="72" t="s">
        <v>120</v>
      </c>
      <c r="M15" s="73" t="s">
        <v>115</v>
      </c>
      <c r="N15" s="73" t="s">
        <v>109</v>
      </c>
      <c r="O15" s="74" t="s">
        <v>116</v>
      </c>
      <c r="P15" s="75" t="s">
        <v>117</v>
      </c>
    </row>
    <row r="16" spans="1:16" ht="12.75" customHeight="1" thickBot="1" x14ac:dyDescent="0.25">
      <c r="A16" s="31" t="str">
        <f t="shared" si="0"/>
        <v>IBVS 5690 </v>
      </c>
      <c r="B16" s="5" t="str">
        <f t="shared" si="1"/>
        <v>II</v>
      </c>
      <c r="C16" s="31">
        <f t="shared" si="2"/>
        <v>53269.638099999996</v>
      </c>
      <c r="D16" s="22" t="str">
        <f t="shared" si="3"/>
        <v>vis</v>
      </c>
      <c r="E16" s="71">
        <f>VLOOKUP(C16,Active!C$21:E$972,3,FALSE)</f>
        <v>53115.073356972644</v>
      </c>
      <c r="F16" s="5" t="s">
        <v>92</v>
      </c>
      <c r="G16" s="22" t="str">
        <f t="shared" si="4"/>
        <v>53269.6381</v>
      </c>
      <c r="H16" s="31">
        <f t="shared" si="5"/>
        <v>20893.5</v>
      </c>
      <c r="I16" s="72" t="s">
        <v>121</v>
      </c>
      <c r="J16" s="73" t="s">
        <v>122</v>
      </c>
      <c r="K16" s="72">
        <v>20893.5</v>
      </c>
      <c r="L16" s="72" t="s">
        <v>123</v>
      </c>
      <c r="M16" s="73" t="s">
        <v>115</v>
      </c>
      <c r="N16" s="73" t="s">
        <v>109</v>
      </c>
      <c r="O16" s="74" t="s">
        <v>116</v>
      </c>
      <c r="P16" s="75" t="s">
        <v>117</v>
      </c>
    </row>
    <row r="17" spans="1:16" ht="12.75" customHeight="1" thickBot="1" x14ac:dyDescent="0.25">
      <c r="A17" s="31" t="str">
        <f t="shared" si="0"/>
        <v>IBVS 5672 </v>
      </c>
      <c r="B17" s="5" t="str">
        <f t="shared" si="1"/>
        <v>II</v>
      </c>
      <c r="C17" s="31">
        <f t="shared" si="2"/>
        <v>53499.897199999999</v>
      </c>
      <c r="D17" s="22" t="str">
        <f t="shared" si="3"/>
        <v>vis</v>
      </c>
      <c r="E17" s="71">
        <f>VLOOKUP(C17,Active!C$21:E$972,3,FALSE)</f>
        <v>54195.067634753563</v>
      </c>
      <c r="F17" s="5" t="s">
        <v>92</v>
      </c>
      <c r="G17" s="22" t="str">
        <f t="shared" si="4"/>
        <v>53499.8972</v>
      </c>
      <c r="H17" s="31">
        <f t="shared" si="5"/>
        <v>21318.5</v>
      </c>
      <c r="I17" s="72" t="s">
        <v>124</v>
      </c>
      <c r="J17" s="73" t="s">
        <v>125</v>
      </c>
      <c r="K17" s="72">
        <v>21318.5</v>
      </c>
      <c r="L17" s="72" t="s">
        <v>126</v>
      </c>
      <c r="M17" s="73" t="s">
        <v>97</v>
      </c>
      <c r="N17" s="73" t="s">
        <v>98</v>
      </c>
      <c r="O17" s="74" t="s">
        <v>127</v>
      </c>
      <c r="P17" s="75" t="s">
        <v>128</v>
      </c>
    </row>
    <row r="18" spans="1:16" ht="12.75" customHeight="1" thickBot="1" x14ac:dyDescent="0.25">
      <c r="A18" s="31" t="str">
        <f t="shared" si="0"/>
        <v>BAVM 178 </v>
      </c>
      <c r="B18" s="5" t="str">
        <f t="shared" si="1"/>
        <v>I</v>
      </c>
      <c r="C18" s="31">
        <f t="shared" si="2"/>
        <v>53515.460400000004</v>
      </c>
      <c r="D18" s="22" t="str">
        <f t="shared" si="3"/>
        <v>vis</v>
      </c>
      <c r="E18" s="71">
        <f>VLOOKUP(C18,Active!C$21:E$972,3,FALSE)</f>
        <v>54268.064389035862</v>
      </c>
      <c r="F18" s="5" t="s">
        <v>92</v>
      </c>
      <c r="G18" s="22" t="str">
        <f t="shared" si="4"/>
        <v>53515.4604</v>
      </c>
      <c r="H18" s="31">
        <f t="shared" si="5"/>
        <v>21347</v>
      </c>
      <c r="I18" s="72" t="s">
        <v>129</v>
      </c>
      <c r="J18" s="73" t="s">
        <v>130</v>
      </c>
      <c r="K18" s="72">
        <v>21347</v>
      </c>
      <c r="L18" s="72" t="s">
        <v>131</v>
      </c>
      <c r="M18" s="73" t="s">
        <v>115</v>
      </c>
      <c r="N18" s="73" t="s">
        <v>132</v>
      </c>
      <c r="O18" s="74" t="s">
        <v>110</v>
      </c>
      <c r="P18" s="75" t="s">
        <v>133</v>
      </c>
    </row>
    <row r="19" spans="1:16" ht="12.75" customHeight="1" thickBot="1" x14ac:dyDescent="0.25">
      <c r="A19" s="31" t="str">
        <f t="shared" si="0"/>
        <v>BAVM 178 </v>
      </c>
      <c r="B19" s="5" t="str">
        <f t="shared" si="1"/>
        <v>I</v>
      </c>
      <c r="C19" s="31">
        <f t="shared" si="2"/>
        <v>53518.447899999999</v>
      </c>
      <c r="D19" s="22" t="str">
        <f t="shared" si="3"/>
        <v>vis</v>
      </c>
      <c r="E19" s="71">
        <f>VLOOKUP(C19,Active!C$21:E$972,3,FALSE)</f>
        <v>54282.076790304112</v>
      </c>
      <c r="F19" s="5" t="s">
        <v>92</v>
      </c>
      <c r="G19" s="22" t="str">
        <f t="shared" si="4"/>
        <v>53518.4479</v>
      </c>
      <c r="H19" s="31">
        <f t="shared" si="5"/>
        <v>21353</v>
      </c>
      <c r="I19" s="72" t="s">
        <v>134</v>
      </c>
      <c r="J19" s="73" t="s">
        <v>135</v>
      </c>
      <c r="K19" s="72" t="s">
        <v>136</v>
      </c>
      <c r="L19" s="72" t="s">
        <v>137</v>
      </c>
      <c r="M19" s="73" t="s">
        <v>115</v>
      </c>
      <c r="N19" s="73" t="s">
        <v>132</v>
      </c>
      <c r="O19" s="74" t="s">
        <v>110</v>
      </c>
      <c r="P19" s="75" t="s">
        <v>133</v>
      </c>
    </row>
    <row r="20" spans="1:16" ht="12.75" customHeight="1" thickBot="1" x14ac:dyDescent="0.25">
      <c r="A20" s="31" t="str">
        <f t="shared" si="0"/>
        <v>BAVM 178 </v>
      </c>
      <c r="B20" s="5" t="str">
        <f t="shared" si="1"/>
        <v>II</v>
      </c>
      <c r="C20" s="31">
        <f t="shared" si="2"/>
        <v>53847.422400000003</v>
      </c>
      <c r="D20" s="22" t="str">
        <f t="shared" si="3"/>
        <v>vis</v>
      </c>
      <c r="E20" s="71">
        <f>VLOOKUP(C20,Active!C$21:E$972,3,FALSE)</f>
        <v>55825.080204874212</v>
      </c>
      <c r="F20" s="5" t="s">
        <v>92</v>
      </c>
      <c r="G20" s="22" t="str">
        <f t="shared" si="4"/>
        <v>53847.4224</v>
      </c>
      <c r="H20" s="31">
        <f t="shared" si="5"/>
        <v>21959.5</v>
      </c>
      <c r="I20" s="72" t="s">
        <v>138</v>
      </c>
      <c r="J20" s="73" t="s">
        <v>139</v>
      </c>
      <c r="K20" s="72" t="s">
        <v>140</v>
      </c>
      <c r="L20" s="72" t="s">
        <v>141</v>
      </c>
      <c r="M20" s="73" t="s">
        <v>115</v>
      </c>
      <c r="N20" s="73" t="s">
        <v>132</v>
      </c>
      <c r="O20" s="74" t="s">
        <v>110</v>
      </c>
      <c r="P20" s="75" t="s">
        <v>133</v>
      </c>
    </row>
    <row r="21" spans="1:16" ht="12.75" customHeight="1" thickBot="1" x14ac:dyDescent="0.25">
      <c r="A21" s="31" t="str">
        <f t="shared" si="0"/>
        <v>BAVM 186 </v>
      </c>
      <c r="B21" s="5" t="str">
        <f t="shared" si="1"/>
        <v>II</v>
      </c>
      <c r="C21" s="31">
        <f t="shared" si="2"/>
        <v>54222.4375</v>
      </c>
      <c r="D21" s="22" t="str">
        <f t="shared" si="3"/>
        <v>vis</v>
      </c>
      <c r="E21" s="71">
        <f>VLOOKUP(C21,Active!C$21:E$972,3,FALSE)</f>
        <v>57584.02984934616</v>
      </c>
      <c r="F21" s="5" t="s">
        <v>92</v>
      </c>
      <c r="G21" s="22" t="str">
        <f t="shared" si="4"/>
        <v>54222.4375</v>
      </c>
      <c r="H21" s="31">
        <f t="shared" si="5"/>
        <v>22651.5</v>
      </c>
      <c r="I21" s="72" t="s">
        <v>142</v>
      </c>
      <c r="J21" s="73" t="s">
        <v>143</v>
      </c>
      <c r="K21" s="72" t="s">
        <v>144</v>
      </c>
      <c r="L21" s="72" t="s">
        <v>145</v>
      </c>
      <c r="M21" s="73" t="s">
        <v>115</v>
      </c>
      <c r="N21" s="73" t="s">
        <v>109</v>
      </c>
      <c r="O21" s="74" t="s">
        <v>146</v>
      </c>
      <c r="P21" s="75" t="s">
        <v>147</v>
      </c>
    </row>
    <row r="22" spans="1:16" ht="12.75" customHeight="1" thickBot="1" x14ac:dyDescent="0.25">
      <c r="A22" s="31" t="str">
        <f t="shared" si="0"/>
        <v>IBVS 5837 </v>
      </c>
      <c r="B22" s="5" t="str">
        <f t="shared" si="1"/>
        <v>I</v>
      </c>
      <c r="C22" s="31">
        <f t="shared" si="2"/>
        <v>54297.493799999997</v>
      </c>
      <c r="D22" s="22" t="str">
        <f t="shared" si="3"/>
        <v>vis</v>
      </c>
      <c r="E22" s="71">
        <f>VLOOKUP(C22,Active!C$21:E$972,3,FALSE)</f>
        <v>57936.069679743319</v>
      </c>
      <c r="F22" s="5" t="s">
        <v>92</v>
      </c>
      <c r="G22" s="22" t="str">
        <f t="shared" si="4"/>
        <v>54297.4938</v>
      </c>
      <c r="H22" s="31">
        <f t="shared" si="5"/>
        <v>22790</v>
      </c>
      <c r="I22" s="72" t="s">
        <v>148</v>
      </c>
      <c r="J22" s="73" t="s">
        <v>149</v>
      </c>
      <c r="K22" s="72" t="s">
        <v>150</v>
      </c>
      <c r="L22" s="72" t="s">
        <v>151</v>
      </c>
      <c r="M22" s="73" t="s">
        <v>115</v>
      </c>
      <c r="N22" s="73" t="s">
        <v>92</v>
      </c>
      <c r="O22" s="74" t="s">
        <v>152</v>
      </c>
      <c r="P22" s="75" t="s">
        <v>153</v>
      </c>
    </row>
    <row r="23" spans="1:16" ht="12.75" customHeight="1" thickBot="1" x14ac:dyDescent="0.25">
      <c r="A23" s="31" t="str">
        <f t="shared" si="0"/>
        <v>BAVM 209 </v>
      </c>
      <c r="B23" s="5" t="str">
        <f t="shared" si="1"/>
        <v>I</v>
      </c>
      <c r="C23" s="31">
        <f t="shared" si="2"/>
        <v>54937.527199999997</v>
      </c>
      <c r="D23" s="22" t="str">
        <f t="shared" si="3"/>
        <v>vis</v>
      </c>
      <c r="E23" s="71">
        <f>VLOOKUP(C23,Active!C$21:E$972,3,FALSE)</f>
        <v>60938.046190502973</v>
      </c>
      <c r="F23" s="5" t="s">
        <v>92</v>
      </c>
      <c r="G23" s="22" t="str">
        <f t="shared" si="4"/>
        <v>54937.5272</v>
      </c>
      <c r="H23" s="31">
        <f t="shared" si="5"/>
        <v>23971</v>
      </c>
      <c r="I23" s="72" t="s">
        <v>154</v>
      </c>
      <c r="J23" s="73" t="s">
        <v>155</v>
      </c>
      <c r="K23" s="72" t="s">
        <v>156</v>
      </c>
      <c r="L23" s="72" t="s">
        <v>157</v>
      </c>
      <c r="M23" s="73" t="s">
        <v>115</v>
      </c>
      <c r="N23" s="73" t="s">
        <v>132</v>
      </c>
      <c r="O23" s="74" t="s">
        <v>110</v>
      </c>
      <c r="P23" s="75" t="s">
        <v>158</v>
      </c>
    </row>
    <row r="24" spans="1:16" ht="12.75" customHeight="1" thickBot="1" x14ac:dyDescent="0.25">
      <c r="A24" s="31" t="str">
        <f t="shared" si="0"/>
        <v>IBVS 5945 </v>
      </c>
      <c r="B24" s="5" t="str">
        <f t="shared" si="1"/>
        <v>II</v>
      </c>
      <c r="C24" s="31">
        <f t="shared" si="2"/>
        <v>55312.760999999999</v>
      </c>
      <c r="D24" s="22" t="str">
        <f t="shared" si="3"/>
        <v>vis</v>
      </c>
      <c r="E24" s="71">
        <f>VLOOKUP(C24,Active!C$21:E$972,3,FALSE)</f>
        <v>62698.02161310293</v>
      </c>
      <c r="F24" s="5" t="s">
        <v>92</v>
      </c>
      <c r="G24" s="22" t="str">
        <f t="shared" si="4"/>
        <v>55312.7610</v>
      </c>
      <c r="H24" s="31">
        <f t="shared" si="5"/>
        <v>24663.5</v>
      </c>
      <c r="I24" s="72" t="s">
        <v>159</v>
      </c>
      <c r="J24" s="73" t="s">
        <v>160</v>
      </c>
      <c r="K24" s="72" t="s">
        <v>161</v>
      </c>
      <c r="L24" s="72" t="s">
        <v>162</v>
      </c>
      <c r="M24" s="73" t="s">
        <v>115</v>
      </c>
      <c r="N24" s="73" t="s">
        <v>92</v>
      </c>
      <c r="O24" s="74" t="s">
        <v>152</v>
      </c>
      <c r="P24" s="75" t="s">
        <v>163</v>
      </c>
    </row>
    <row r="25" spans="1:16" ht="12.75" customHeight="1" thickBot="1" x14ac:dyDescent="0.25">
      <c r="A25" s="31" t="str">
        <f t="shared" si="0"/>
        <v>BAVM 215 </v>
      </c>
      <c r="B25" s="5" t="str">
        <f t="shared" si="1"/>
        <v>I</v>
      </c>
      <c r="C25" s="31">
        <f t="shared" si="2"/>
        <v>55388.448700000001</v>
      </c>
      <c r="D25" s="22" t="str">
        <f t="shared" si="3"/>
        <v>vis</v>
      </c>
      <c r="E25" s="71">
        <f>VLOOKUP(C25,Active!C$21:E$972,3,FALSE)</f>
        <v>63053.022926399128</v>
      </c>
      <c r="F25" s="5" t="s">
        <v>92</v>
      </c>
      <c r="G25" s="22" t="str">
        <f t="shared" si="4"/>
        <v>55388.4487</v>
      </c>
      <c r="H25" s="31">
        <f t="shared" si="5"/>
        <v>24803</v>
      </c>
      <c r="I25" s="72" t="s">
        <v>164</v>
      </c>
      <c r="J25" s="73" t="s">
        <v>165</v>
      </c>
      <c r="K25" s="72" t="s">
        <v>166</v>
      </c>
      <c r="L25" s="72" t="s">
        <v>167</v>
      </c>
      <c r="M25" s="73" t="s">
        <v>115</v>
      </c>
      <c r="N25" s="73" t="s">
        <v>132</v>
      </c>
      <c r="O25" s="74" t="s">
        <v>110</v>
      </c>
      <c r="P25" s="75" t="s">
        <v>168</v>
      </c>
    </row>
    <row r="26" spans="1:16" ht="12.75" customHeight="1" thickBot="1" x14ac:dyDescent="0.25">
      <c r="A26" s="31" t="str">
        <f t="shared" si="0"/>
        <v>IBVS 5992 </v>
      </c>
      <c r="B26" s="5" t="str">
        <f t="shared" si="1"/>
        <v>I</v>
      </c>
      <c r="C26" s="31">
        <f t="shared" si="2"/>
        <v>55726.797599999998</v>
      </c>
      <c r="D26" s="22" t="str">
        <f t="shared" si="3"/>
        <v>vis</v>
      </c>
      <c r="E26" s="71">
        <f>VLOOKUP(C26,Active!C$21:E$972,3,FALSE)</f>
        <v>64639.995497270203</v>
      </c>
      <c r="F26" s="5" t="s">
        <v>92</v>
      </c>
      <c r="G26" s="22" t="str">
        <f t="shared" si="4"/>
        <v>55726.7976</v>
      </c>
      <c r="H26" s="31">
        <f t="shared" si="5"/>
        <v>25427</v>
      </c>
      <c r="I26" s="72" t="s">
        <v>169</v>
      </c>
      <c r="J26" s="73" t="s">
        <v>170</v>
      </c>
      <c r="K26" s="72" t="s">
        <v>171</v>
      </c>
      <c r="L26" s="72" t="s">
        <v>172</v>
      </c>
      <c r="M26" s="73" t="s">
        <v>115</v>
      </c>
      <c r="N26" s="73" t="s">
        <v>92</v>
      </c>
      <c r="O26" s="74" t="s">
        <v>152</v>
      </c>
      <c r="P26" s="75" t="s">
        <v>173</v>
      </c>
    </row>
    <row r="27" spans="1:16" ht="12.75" customHeight="1" thickBot="1" x14ac:dyDescent="0.25">
      <c r="A27" s="31" t="str">
        <f t="shared" si="0"/>
        <v>BAVM 228 </v>
      </c>
      <c r="B27" s="5" t="str">
        <f t="shared" si="1"/>
        <v>II</v>
      </c>
      <c r="C27" s="31">
        <f t="shared" si="2"/>
        <v>56001.620199999998</v>
      </c>
      <c r="D27" s="22" t="str">
        <f t="shared" si="3"/>
        <v>vis</v>
      </c>
      <c r="E27" s="71">
        <f>VLOOKUP(C27,Active!C$21:E$972,3,FALSE)</f>
        <v>65929.007898538475</v>
      </c>
      <c r="F27" s="5" t="s">
        <v>92</v>
      </c>
      <c r="G27" s="22" t="str">
        <f t="shared" si="4"/>
        <v>56001.6202</v>
      </c>
      <c r="H27" s="31">
        <f t="shared" si="5"/>
        <v>25934.5</v>
      </c>
      <c r="I27" s="72" t="s">
        <v>174</v>
      </c>
      <c r="J27" s="73" t="s">
        <v>175</v>
      </c>
      <c r="K27" s="72" t="s">
        <v>176</v>
      </c>
      <c r="L27" s="72" t="s">
        <v>177</v>
      </c>
      <c r="M27" s="73" t="s">
        <v>115</v>
      </c>
      <c r="N27" s="73" t="s">
        <v>109</v>
      </c>
      <c r="O27" s="74" t="s">
        <v>146</v>
      </c>
      <c r="P27" s="75" t="s">
        <v>178</v>
      </c>
    </row>
    <row r="28" spans="1:16" ht="12.75" customHeight="1" thickBot="1" x14ac:dyDescent="0.25">
      <c r="A28" s="31" t="str">
        <f t="shared" si="0"/>
        <v>BAVM 228 </v>
      </c>
      <c r="B28" s="5" t="str">
        <f t="shared" si="1"/>
        <v>II</v>
      </c>
      <c r="C28" s="31">
        <f t="shared" si="2"/>
        <v>56006.525500000003</v>
      </c>
      <c r="D28" s="22" t="str">
        <f t="shared" si="3"/>
        <v>vis</v>
      </c>
      <c r="E28" s="71">
        <f>VLOOKUP(C28,Active!C$21:E$972,3,FALSE)</f>
        <v>65952.015440610878</v>
      </c>
      <c r="F28" s="5" t="s">
        <v>92</v>
      </c>
      <c r="G28" s="22" t="str">
        <f t="shared" si="4"/>
        <v>56006.5255</v>
      </c>
      <c r="H28" s="31">
        <f t="shared" si="5"/>
        <v>25943.5</v>
      </c>
      <c r="I28" s="72" t="s">
        <v>179</v>
      </c>
      <c r="J28" s="73" t="s">
        <v>180</v>
      </c>
      <c r="K28" s="72" t="s">
        <v>181</v>
      </c>
      <c r="L28" s="72" t="s">
        <v>182</v>
      </c>
      <c r="M28" s="73" t="s">
        <v>115</v>
      </c>
      <c r="N28" s="73" t="s">
        <v>109</v>
      </c>
      <c r="O28" s="74" t="s">
        <v>146</v>
      </c>
      <c r="P28" s="75" t="s">
        <v>178</v>
      </c>
    </row>
    <row r="29" spans="1:16" ht="12.75" customHeight="1" thickBot="1" x14ac:dyDescent="0.25">
      <c r="A29" s="31" t="str">
        <f t="shared" si="0"/>
        <v>BAVM 228 </v>
      </c>
      <c r="B29" s="5" t="str">
        <f t="shared" si="1"/>
        <v>I</v>
      </c>
      <c r="C29" s="31">
        <f t="shared" si="2"/>
        <v>56055.554799999998</v>
      </c>
      <c r="D29" s="22" t="str">
        <f t="shared" si="3"/>
        <v>vis</v>
      </c>
      <c r="E29" s="71">
        <f>VLOOKUP(C29,Active!C$21:E$972,3,FALSE)</f>
        <v>66181.979700193231</v>
      </c>
      <c r="F29" s="5" t="s">
        <v>92</v>
      </c>
      <c r="G29" s="22" t="str">
        <f t="shared" si="4"/>
        <v>56055.5548</v>
      </c>
      <c r="H29" s="31">
        <f t="shared" si="5"/>
        <v>26034</v>
      </c>
      <c r="I29" s="72" t="s">
        <v>188</v>
      </c>
      <c r="J29" s="73" t="s">
        <v>189</v>
      </c>
      <c r="K29" s="72" t="s">
        <v>190</v>
      </c>
      <c r="L29" s="72" t="s">
        <v>191</v>
      </c>
      <c r="M29" s="73" t="s">
        <v>115</v>
      </c>
      <c r="N29" s="73" t="s">
        <v>132</v>
      </c>
      <c r="O29" s="74" t="s">
        <v>110</v>
      </c>
      <c r="P29" s="75" t="s">
        <v>178</v>
      </c>
    </row>
    <row r="30" spans="1:16" ht="12.75" customHeight="1" thickBot="1" x14ac:dyDescent="0.25">
      <c r="A30" s="31" t="str">
        <f t="shared" si="0"/>
        <v>BAVM 232 </v>
      </c>
      <c r="B30" s="5" t="str">
        <f t="shared" si="1"/>
        <v>II</v>
      </c>
      <c r="C30" s="31">
        <f t="shared" si="2"/>
        <v>56489.419000000002</v>
      </c>
      <c r="D30" s="22" t="str">
        <f t="shared" si="3"/>
        <v>vis</v>
      </c>
      <c r="E30" s="71">
        <f>VLOOKUP(C30,Active!C$21:E$972,3,FALSE)</f>
        <v>68216.951839552727</v>
      </c>
      <c r="F30" s="5" t="s">
        <v>92</v>
      </c>
      <c r="G30" s="22" t="str">
        <f t="shared" si="4"/>
        <v>56489.4190</v>
      </c>
      <c r="H30" s="31">
        <f t="shared" si="5"/>
        <v>26834.5</v>
      </c>
      <c r="I30" s="72" t="s">
        <v>192</v>
      </c>
      <c r="J30" s="73" t="s">
        <v>193</v>
      </c>
      <c r="K30" s="72" t="s">
        <v>194</v>
      </c>
      <c r="L30" s="72" t="s">
        <v>195</v>
      </c>
      <c r="M30" s="73" t="s">
        <v>115</v>
      </c>
      <c r="N30" s="73" t="s">
        <v>109</v>
      </c>
      <c r="O30" s="74" t="s">
        <v>196</v>
      </c>
      <c r="P30" s="75" t="s">
        <v>197</v>
      </c>
    </row>
    <row r="31" spans="1:16" ht="12.75" customHeight="1" thickBot="1" x14ac:dyDescent="0.25">
      <c r="A31" s="31" t="str">
        <f t="shared" si="0"/>
        <v>IBVS 6050 </v>
      </c>
      <c r="B31" s="5" t="str">
        <f t="shared" si="1"/>
        <v>II</v>
      </c>
      <c r="C31" s="31">
        <f t="shared" si="2"/>
        <v>56024.852899999998</v>
      </c>
      <c r="D31" s="22" t="str">
        <f t="shared" si="3"/>
        <v>vis</v>
      </c>
      <c r="E31" s="71" t="e">
        <f>VLOOKUP(C31,Active!C$21:E$972,3,FALSE)</f>
        <v>#N/A</v>
      </c>
      <c r="F31" s="5" t="s">
        <v>92</v>
      </c>
      <c r="G31" s="22" t="str">
        <f t="shared" si="4"/>
        <v>56024.8529</v>
      </c>
      <c r="H31" s="31">
        <f t="shared" si="5"/>
        <v>25977.5</v>
      </c>
      <c r="I31" s="72" t="s">
        <v>183</v>
      </c>
      <c r="J31" s="73" t="s">
        <v>184</v>
      </c>
      <c r="K31" s="72" t="s">
        <v>185</v>
      </c>
      <c r="L31" s="72" t="s">
        <v>186</v>
      </c>
      <c r="M31" s="73" t="s">
        <v>115</v>
      </c>
      <c r="N31" s="73" t="s">
        <v>84</v>
      </c>
      <c r="O31" s="74" t="s">
        <v>127</v>
      </c>
      <c r="P31" s="75" t="s">
        <v>187</v>
      </c>
    </row>
    <row r="32" spans="1:16" x14ac:dyDescent="0.2">
      <c r="B32" s="5"/>
      <c r="E32" s="71"/>
      <c r="F32" s="5"/>
    </row>
    <row r="33" spans="2:6" x14ac:dyDescent="0.2">
      <c r="B33" s="5"/>
      <c r="E33" s="71"/>
      <c r="F33" s="5"/>
    </row>
    <row r="34" spans="2:6" x14ac:dyDescent="0.2">
      <c r="B34" s="5"/>
      <c r="E34" s="71"/>
      <c r="F34" s="5"/>
    </row>
    <row r="35" spans="2:6" x14ac:dyDescent="0.2">
      <c r="B35" s="5"/>
      <c r="E35" s="71"/>
      <c r="F35" s="5"/>
    </row>
    <row r="36" spans="2:6" x14ac:dyDescent="0.2">
      <c r="B36" s="5"/>
      <c r="E36" s="71"/>
      <c r="F36" s="5"/>
    </row>
    <row r="37" spans="2:6" x14ac:dyDescent="0.2">
      <c r="B37" s="5"/>
      <c r="E37" s="71"/>
      <c r="F37" s="5"/>
    </row>
    <row r="38" spans="2:6" x14ac:dyDescent="0.2">
      <c r="B38" s="5"/>
      <c r="E38" s="71"/>
      <c r="F38" s="5"/>
    </row>
    <row r="39" spans="2:6" x14ac:dyDescent="0.2">
      <c r="B39" s="5"/>
      <c r="E39" s="71"/>
      <c r="F39" s="5"/>
    </row>
    <row r="40" spans="2:6" x14ac:dyDescent="0.2">
      <c r="B40" s="5"/>
      <c r="E40" s="71"/>
      <c r="F40" s="5"/>
    </row>
    <row r="41" spans="2:6" x14ac:dyDescent="0.2">
      <c r="B41" s="5"/>
      <c r="E41" s="71"/>
      <c r="F41" s="5"/>
    </row>
    <row r="42" spans="2:6" x14ac:dyDescent="0.2">
      <c r="B42" s="5"/>
      <c r="E42" s="71"/>
      <c r="F42" s="5"/>
    </row>
    <row r="43" spans="2:6" x14ac:dyDescent="0.2">
      <c r="B43" s="5"/>
      <c r="E43" s="71"/>
      <c r="F43" s="5"/>
    </row>
    <row r="44" spans="2:6" x14ac:dyDescent="0.2">
      <c r="B44" s="5"/>
      <c r="E44" s="71"/>
      <c r="F44" s="5"/>
    </row>
    <row r="45" spans="2:6" x14ac:dyDescent="0.2">
      <c r="B45" s="5"/>
      <c r="E45" s="71"/>
      <c r="F45" s="5"/>
    </row>
    <row r="46" spans="2:6" x14ac:dyDescent="0.2">
      <c r="B46" s="5"/>
      <c r="E46" s="71"/>
      <c r="F46" s="5"/>
    </row>
    <row r="47" spans="2:6" x14ac:dyDescent="0.2">
      <c r="B47" s="5"/>
      <c r="F47" s="5"/>
    </row>
    <row r="48" spans="2:6" x14ac:dyDescent="0.2">
      <c r="B48" s="5"/>
      <c r="F48" s="5"/>
    </row>
    <row r="49" spans="2:6" x14ac:dyDescent="0.2">
      <c r="B49" s="5"/>
      <c r="F49" s="5"/>
    </row>
    <row r="50" spans="2:6" x14ac:dyDescent="0.2">
      <c r="B50" s="5"/>
      <c r="F50" s="5"/>
    </row>
    <row r="51" spans="2:6" x14ac:dyDescent="0.2">
      <c r="B51" s="5"/>
      <c r="F51" s="5"/>
    </row>
    <row r="52" spans="2:6" x14ac:dyDescent="0.2">
      <c r="B52" s="5"/>
      <c r="F52" s="5"/>
    </row>
    <row r="53" spans="2:6" x14ac:dyDescent="0.2">
      <c r="B53" s="5"/>
      <c r="F53" s="5"/>
    </row>
    <row r="54" spans="2:6" x14ac:dyDescent="0.2">
      <c r="B54" s="5"/>
      <c r="F54" s="5"/>
    </row>
    <row r="55" spans="2:6" x14ac:dyDescent="0.2">
      <c r="B55" s="5"/>
      <c r="F55" s="5"/>
    </row>
    <row r="56" spans="2:6" x14ac:dyDescent="0.2">
      <c r="B56" s="5"/>
      <c r="F56" s="5"/>
    </row>
    <row r="57" spans="2:6" x14ac:dyDescent="0.2">
      <c r="B57" s="5"/>
      <c r="F57" s="5"/>
    </row>
    <row r="58" spans="2:6" x14ac:dyDescent="0.2">
      <c r="B58" s="5"/>
      <c r="F58" s="5"/>
    </row>
    <row r="59" spans="2:6" x14ac:dyDescent="0.2">
      <c r="B59" s="5"/>
      <c r="F59" s="5"/>
    </row>
    <row r="60" spans="2:6" x14ac:dyDescent="0.2">
      <c r="B60" s="5"/>
      <c r="F60" s="5"/>
    </row>
    <row r="61" spans="2:6" x14ac:dyDescent="0.2">
      <c r="B61" s="5"/>
      <c r="F61" s="5"/>
    </row>
    <row r="62" spans="2:6" x14ac:dyDescent="0.2">
      <c r="B62" s="5"/>
      <c r="F62" s="5"/>
    </row>
    <row r="63" spans="2:6" x14ac:dyDescent="0.2">
      <c r="B63" s="5"/>
      <c r="F63" s="5"/>
    </row>
    <row r="64" spans="2:6" x14ac:dyDescent="0.2">
      <c r="B64" s="5"/>
      <c r="F64" s="5"/>
    </row>
    <row r="65" spans="2:6" x14ac:dyDescent="0.2">
      <c r="B65" s="5"/>
      <c r="F65" s="5"/>
    </row>
    <row r="66" spans="2:6" x14ac:dyDescent="0.2">
      <c r="B66" s="5"/>
      <c r="F66" s="5"/>
    </row>
    <row r="67" spans="2:6" x14ac:dyDescent="0.2">
      <c r="B67" s="5"/>
      <c r="F67" s="5"/>
    </row>
    <row r="68" spans="2:6" x14ac:dyDescent="0.2">
      <c r="B68" s="5"/>
      <c r="F68" s="5"/>
    </row>
    <row r="69" spans="2:6" x14ac:dyDescent="0.2">
      <c r="B69" s="5"/>
      <c r="F69" s="5"/>
    </row>
    <row r="70" spans="2:6" x14ac:dyDescent="0.2">
      <c r="B70" s="5"/>
      <c r="F70" s="5"/>
    </row>
    <row r="71" spans="2:6" x14ac:dyDescent="0.2">
      <c r="B71" s="5"/>
      <c r="F71" s="5"/>
    </row>
    <row r="72" spans="2:6" x14ac:dyDescent="0.2">
      <c r="B72" s="5"/>
      <c r="F72" s="5"/>
    </row>
    <row r="73" spans="2:6" x14ac:dyDescent="0.2">
      <c r="B73" s="5"/>
      <c r="F73" s="5"/>
    </row>
    <row r="74" spans="2:6" x14ac:dyDescent="0.2">
      <c r="B74" s="5"/>
      <c r="F74" s="5"/>
    </row>
    <row r="75" spans="2:6" x14ac:dyDescent="0.2">
      <c r="B75" s="5"/>
      <c r="F75" s="5"/>
    </row>
    <row r="76" spans="2:6" x14ac:dyDescent="0.2">
      <c r="B76" s="5"/>
      <c r="F76" s="5"/>
    </row>
    <row r="77" spans="2:6" x14ac:dyDescent="0.2">
      <c r="B77" s="5"/>
      <c r="F77" s="5"/>
    </row>
    <row r="78" spans="2:6" x14ac:dyDescent="0.2">
      <c r="B78" s="5"/>
      <c r="F78" s="5"/>
    </row>
    <row r="79" spans="2:6" x14ac:dyDescent="0.2">
      <c r="B79" s="5"/>
      <c r="F79" s="5"/>
    </row>
    <row r="80" spans="2:6" x14ac:dyDescent="0.2">
      <c r="B80" s="5"/>
      <c r="F80" s="5"/>
    </row>
    <row r="81" spans="2:6" x14ac:dyDescent="0.2">
      <c r="B81" s="5"/>
      <c r="F81" s="5"/>
    </row>
    <row r="82" spans="2:6" x14ac:dyDescent="0.2">
      <c r="B82" s="5"/>
      <c r="F82" s="5"/>
    </row>
    <row r="83" spans="2:6" x14ac:dyDescent="0.2">
      <c r="B83" s="5"/>
      <c r="F83" s="5"/>
    </row>
    <row r="84" spans="2:6" x14ac:dyDescent="0.2">
      <c r="B84" s="5"/>
      <c r="F84" s="5"/>
    </row>
    <row r="85" spans="2:6" x14ac:dyDescent="0.2">
      <c r="B85" s="5"/>
      <c r="F85" s="5"/>
    </row>
    <row r="86" spans="2:6" x14ac:dyDescent="0.2">
      <c r="B86" s="5"/>
      <c r="F86" s="5"/>
    </row>
    <row r="87" spans="2:6" x14ac:dyDescent="0.2">
      <c r="B87" s="5"/>
      <c r="F87" s="5"/>
    </row>
    <row r="88" spans="2:6" x14ac:dyDescent="0.2">
      <c r="B88" s="5"/>
      <c r="F88" s="5"/>
    </row>
    <row r="89" spans="2:6" x14ac:dyDescent="0.2">
      <c r="B89" s="5"/>
      <c r="F89" s="5"/>
    </row>
    <row r="90" spans="2:6" x14ac:dyDescent="0.2">
      <c r="B90" s="5"/>
      <c r="F90" s="5"/>
    </row>
    <row r="91" spans="2:6" x14ac:dyDescent="0.2">
      <c r="B91" s="5"/>
      <c r="F91" s="5"/>
    </row>
    <row r="92" spans="2:6" x14ac:dyDescent="0.2">
      <c r="B92" s="5"/>
      <c r="F92" s="5"/>
    </row>
    <row r="93" spans="2:6" x14ac:dyDescent="0.2">
      <c r="B93" s="5"/>
      <c r="F93" s="5"/>
    </row>
    <row r="94" spans="2:6" x14ac:dyDescent="0.2">
      <c r="B94" s="5"/>
      <c r="F94" s="5"/>
    </row>
    <row r="95" spans="2:6" x14ac:dyDescent="0.2">
      <c r="B95" s="5"/>
      <c r="F95" s="5"/>
    </row>
    <row r="96" spans="2:6" x14ac:dyDescent="0.2">
      <c r="B96" s="5"/>
      <c r="F96" s="5"/>
    </row>
    <row r="97" spans="2:6" x14ac:dyDescent="0.2">
      <c r="B97" s="5"/>
      <c r="F97" s="5"/>
    </row>
    <row r="98" spans="2:6" x14ac:dyDescent="0.2">
      <c r="B98" s="5"/>
      <c r="F98" s="5"/>
    </row>
    <row r="99" spans="2:6" x14ac:dyDescent="0.2">
      <c r="B99" s="5"/>
      <c r="F99" s="5"/>
    </row>
    <row r="100" spans="2:6" x14ac:dyDescent="0.2">
      <c r="B100" s="5"/>
      <c r="F100" s="5"/>
    </row>
    <row r="101" spans="2:6" x14ac:dyDescent="0.2">
      <c r="B101" s="5"/>
      <c r="F101" s="5"/>
    </row>
    <row r="102" spans="2:6" x14ac:dyDescent="0.2">
      <c r="B102" s="5"/>
      <c r="F102" s="5"/>
    </row>
    <row r="103" spans="2:6" x14ac:dyDescent="0.2">
      <c r="B103" s="5"/>
      <c r="F103" s="5"/>
    </row>
    <row r="104" spans="2:6" x14ac:dyDescent="0.2">
      <c r="B104" s="5"/>
      <c r="F104" s="5"/>
    </row>
    <row r="105" spans="2:6" x14ac:dyDescent="0.2">
      <c r="B105" s="5"/>
      <c r="F105" s="5"/>
    </row>
    <row r="106" spans="2:6" x14ac:dyDescent="0.2">
      <c r="B106" s="5"/>
      <c r="F106" s="5"/>
    </row>
    <row r="107" spans="2:6" x14ac:dyDescent="0.2">
      <c r="B107" s="5"/>
      <c r="F107" s="5"/>
    </row>
    <row r="108" spans="2:6" x14ac:dyDescent="0.2">
      <c r="B108" s="5"/>
      <c r="F108" s="5"/>
    </row>
    <row r="109" spans="2:6" x14ac:dyDescent="0.2">
      <c r="B109" s="5"/>
      <c r="F109" s="5"/>
    </row>
    <row r="110" spans="2:6" x14ac:dyDescent="0.2">
      <c r="B110" s="5"/>
      <c r="F110" s="5"/>
    </row>
    <row r="111" spans="2:6" x14ac:dyDescent="0.2">
      <c r="B111" s="5"/>
      <c r="F111" s="5"/>
    </row>
    <row r="112" spans="2:6" x14ac:dyDescent="0.2">
      <c r="B112" s="5"/>
      <c r="F112" s="5"/>
    </row>
    <row r="113" spans="2:6" x14ac:dyDescent="0.2">
      <c r="B113" s="5"/>
      <c r="F113" s="5"/>
    </row>
    <row r="114" spans="2:6" x14ac:dyDescent="0.2">
      <c r="B114" s="5"/>
      <c r="F114" s="5"/>
    </row>
    <row r="115" spans="2:6" x14ac:dyDescent="0.2">
      <c r="B115" s="5"/>
      <c r="F115" s="5"/>
    </row>
    <row r="116" spans="2:6" x14ac:dyDescent="0.2">
      <c r="B116" s="5"/>
      <c r="F116" s="5"/>
    </row>
    <row r="117" spans="2:6" x14ac:dyDescent="0.2">
      <c r="B117" s="5"/>
      <c r="F117" s="5"/>
    </row>
    <row r="118" spans="2:6" x14ac:dyDescent="0.2">
      <c r="B118" s="5"/>
      <c r="F118" s="5"/>
    </row>
    <row r="119" spans="2:6" x14ac:dyDescent="0.2">
      <c r="B119" s="5"/>
      <c r="F119" s="5"/>
    </row>
    <row r="120" spans="2:6" x14ac:dyDescent="0.2">
      <c r="B120" s="5"/>
      <c r="F120" s="5"/>
    </row>
    <row r="121" spans="2:6" x14ac:dyDescent="0.2">
      <c r="B121" s="5"/>
      <c r="F121" s="5"/>
    </row>
    <row r="122" spans="2:6" x14ac:dyDescent="0.2">
      <c r="B122" s="5"/>
      <c r="F122" s="5"/>
    </row>
    <row r="123" spans="2:6" x14ac:dyDescent="0.2">
      <c r="B123" s="5"/>
      <c r="F123" s="5"/>
    </row>
    <row r="124" spans="2:6" x14ac:dyDescent="0.2">
      <c r="B124" s="5"/>
      <c r="F124" s="5"/>
    </row>
    <row r="125" spans="2:6" x14ac:dyDescent="0.2">
      <c r="B125" s="5"/>
      <c r="F125" s="5"/>
    </row>
    <row r="126" spans="2:6" x14ac:dyDescent="0.2">
      <c r="B126" s="5"/>
      <c r="F126" s="5"/>
    </row>
    <row r="127" spans="2:6" x14ac:dyDescent="0.2">
      <c r="B127" s="5"/>
      <c r="F127" s="5"/>
    </row>
    <row r="128" spans="2:6" x14ac:dyDescent="0.2">
      <c r="B128" s="5"/>
      <c r="F128" s="5"/>
    </row>
    <row r="129" spans="2:6" x14ac:dyDescent="0.2">
      <c r="B129" s="5"/>
      <c r="F129" s="5"/>
    </row>
    <row r="130" spans="2:6" x14ac:dyDescent="0.2">
      <c r="B130" s="5"/>
      <c r="F130" s="5"/>
    </row>
    <row r="131" spans="2:6" x14ac:dyDescent="0.2">
      <c r="B131" s="5"/>
      <c r="F131" s="5"/>
    </row>
    <row r="132" spans="2:6" x14ac:dyDescent="0.2">
      <c r="B132" s="5"/>
      <c r="F132" s="5"/>
    </row>
    <row r="133" spans="2:6" x14ac:dyDescent="0.2">
      <c r="B133" s="5"/>
      <c r="F133" s="5"/>
    </row>
    <row r="134" spans="2:6" x14ac:dyDescent="0.2">
      <c r="B134" s="5"/>
      <c r="F134" s="5"/>
    </row>
    <row r="135" spans="2:6" x14ac:dyDescent="0.2">
      <c r="B135" s="5"/>
      <c r="F135" s="5"/>
    </row>
    <row r="136" spans="2:6" x14ac:dyDescent="0.2">
      <c r="B136" s="5"/>
      <c r="F136" s="5"/>
    </row>
    <row r="137" spans="2:6" x14ac:dyDescent="0.2">
      <c r="B137" s="5"/>
      <c r="F137" s="5"/>
    </row>
    <row r="138" spans="2:6" x14ac:dyDescent="0.2">
      <c r="B138" s="5"/>
      <c r="F138" s="5"/>
    </row>
    <row r="139" spans="2:6" x14ac:dyDescent="0.2">
      <c r="B139" s="5"/>
      <c r="F139" s="5"/>
    </row>
    <row r="140" spans="2:6" x14ac:dyDescent="0.2">
      <c r="B140" s="5"/>
      <c r="F140" s="5"/>
    </row>
    <row r="141" spans="2:6" x14ac:dyDescent="0.2">
      <c r="B141" s="5"/>
      <c r="F141" s="5"/>
    </row>
    <row r="142" spans="2:6" x14ac:dyDescent="0.2">
      <c r="B142" s="5"/>
      <c r="F142" s="5"/>
    </row>
    <row r="143" spans="2:6" x14ac:dyDescent="0.2">
      <c r="B143" s="5"/>
      <c r="F143" s="5"/>
    </row>
    <row r="144" spans="2:6" x14ac:dyDescent="0.2">
      <c r="B144" s="5"/>
      <c r="F144" s="5"/>
    </row>
    <row r="145" spans="2:6" x14ac:dyDescent="0.2">
      <c r="B145" s="5"/>
      <c r="F145" s="5"/>
    </row>
    <row r="146" spans="2:6" x14ac:dyDescent="0.2">
      <c r="B146" s="5"/>
      <c r="F146" s="5"/>
    </row>
    <row r="147" spans="2:6" x14ac:dyDescent="0.2">
      <c r="B147" s="5"/>
      <c r="F147" s="5"/>
    </row>
    <row r="148" spans="2:6" x14ac:dyDescent="0.2">
      <c r="B148" s="5"/>
      <c r="F148" s="5"/>
    </row>
    <row r="149" spans="2:6" x14ac:dyDescent="0.2">
      <c r="B149" s="5"/>
      <c r="F149" s="5"/>
    </row>
    <row r="150" spans="2:6" x14ac:dyDescent="0.2">
      <c r="B150" s="5"/>
      <c r="F150" s="5"/>
    </row>
    <row r="151" spans="2:6" x14ac:dyDescent="0.2">
      <c r="B151" s="5"/>
      <c r="F151" s="5"/>
    </row>
    <row r="152" spans="2:6" x14ac:dyDescent="0.2">
      <c r="B152" s="5"/>
      <c r="F152" s="5"/>
    </row>
    <row r="153" spans="2:6" x14ac:dyDescent="0.2">
      <c r="B153" s="5"/>
      <c r="F153" s="5"/>
    </row>
    <row r="154" spans="2:6" x14ac:dyDescent="0.2">
      <c r="B154" s="5"/>
      <c r="F154" s="5"/>
    </row>
    <row r="155" spans="2:6" x14ac:dyDescent="0.2">
      <c r="B155" s="5"/>
      <c r="F155" s="5"/>
    </row>
    <row r="156" spans="2:6" x14ac:dyDescent="0.2">
      <c r="B156" s="5"/>
      <c r="F156" s="5"/>
    </row>
    <row r="157" spans="2:6" x14ac:dyDescent="0.2">
      <c r="B157" s="5"/>
      <c r="F157" s="5"/>
    </row>
    <row r="158" spans="2:6" x14ac:dyDescent="0.2">
      <c r="B158" s="5"/>
      <c r="F158" s="5"/>
    </row>
    <row r="159" spans="2:6" x14ac:dyDescent="0.2">
      <c r="B159" s="5"/>
      <c r="F159" s="5"/>
    </row>
    <row r="160" spans="2:6" x14ac:dyDescent="0.2">
      <c r="B160" s="5"/>
      <c r="F160" s="5"/>
    </row>
    <row r="161" spans="2:6" x14ac:dyDescent="0.2">
      <c r="B161" s="5"/>
      <c r="F161" s="5"/>
    </row>
    <row r="162" spans="2:6" x14ac:dyDescent="0.2">
      <c r="B162" s="5"/>
      <c r="F162" s="5"/>
    </row>
    <row r="163" spans="2:6" x14ac:dyDescent="0.2">
      <c r="B163" s="5"/>
      <c r="F163" s="5"/>
    </row>
    <row r="164" spans="2:6" x14ac:dyDescent="0.2">
      <c r="B164" s="5"/>
      <c r="F164" s="5"/>
    </row>
    <row r="165" spans="2:6" x14ac:dyDescent="0.2">
      <c r="B165" s="5"/>
      <c r="F165" s="5"/>
    </row>
    <row r="166" spans="2:6" x14ac:dyDescent="0.2">
      <c r="B166" s="5"/>
      <c r="F166" s="5"/>
    </row>
    <row r="167" spans="2:6" x14ac:dyDescent="0.2">
      <c r="B167" s="5"/>
      <c r="F167" s="5"/>
    </row>
    <row r="168" spans="2:6" x14ac:dyDescent="0.2">
      <c r="B168" s="5"/>
      <c r="F168" s="5"/>
    </row>
    <row r="169" spans="2:6" x14ac:dyDescent="0.2">
      <c r="B169" s="5"/>
      <c r="F169" s="5"/>
    </row>
    <row r="170" spans="2:6" x14ac:dyDescent="0.2">
      <c r="B170" s="5"/>
      <c r="F170" s="5"/>
    </row>
    <row r="171" spans="2:6" x14ac:dyDescent="0.2">
      <c r="B171" s="5"/>
      <c r="F171" s="5"/>
    </row>
    <row r="172" spans="2:6" x14ac:dyDescent="0.2">
      <c r="B172" s="5"/>
      <c r="F172" s="5"/>
    </row>
    <row r="173" spans="2:6" x14ac:dyDescent="0.2">
      <c r="B173" s="5"/>
      <c r="F173" s="5"/>
    </row>
    <row r="174" spans="2:6" x14ac:dyDescent="0.2">
      <c r="B174" s="5"/>
      <c r="F174" s="5"/>
    </row>
    <row r="175" spans="2:6" x14ac:dyDescent="0.2">
      <c r="B175" s="5"/>
      <c r="F175" s="5"/>
    </row>
    <row r="176" spans="2:6" x14ac:dyDescent="0.2">
      <c r="B176" s="5"/>
      <c r="F176" s="5"/>
    </row>
    <row r="177" spans="2:6" x14ac:dyDescent="0.2">
      <c r="B177" s="5"/>
      <c r="F177" s="5"/>
    </row>
    <row r="178" spans="2:6" x14ac:dyDescent="0.2">
      <c r="B178" s="5"/>
      <c r="F178" s="5"/>
    </row>
    <row r="179" spans="2:6" x14ac:dyDescent="0.2">
      <c r="B179" s="5"/>
      <c r="F179" s="5"/>
    </row>
    <row r="180" spans="2:6" x14ac:dyDescent="0.2">
      <c r="B180" s="5"/>
      <c r="F180" s="5"/>
    </row>
    <row r="181" spans="2:6" x14ac:dyDescent="0.2">
      <c r="B181" s="5"/>
      <c r="F181" s="5"/>
    </row>
    <row r="182" spans="2:6" x14ac:dyDescent="0.2">
      <c r="B182" s="5"/>
      <c r="F182" s="5"/>
    </row>
    <row r="183" spans="2:6" x14ac:dyDescent="0.2">
      <c r="B183" s="5"/>
      <c r="F183" s="5"/>
    </row>
    <row r="184" spans="2:6" x14ac:dyDescent="0.2">
      <c r="B184" s="5"/>
      <c r="F184" s="5"/>
    </row>
    <row r="185" spans="2:6" x14ac:dyDescent="0.2">
      <c r="B185" s="5"/>
      <c r="F185" s="5"/>
    </row>
    <row r="186" spans="2:6" x14ac:dyDescent="0.2">
      <c r="B186" s="5"/>
      <c r="F186" s="5"/>
    </row>
    <row r="187" spans="2:6" x14ac:dyDescent="0.2">
      <c r="B187" s="5"/>
      <c r="F187" s="5"/>
    </row>
    <row r="188" spans="2:6" x14ac:dyDescent="0.2">
      <c r="B188" s="5"/>
      <c r="F188" s="5"/>
    </row>
    <row r="189" spans="2:6" x14ac:dyDescent="0.2">
      <c r="B189" s="5"/>
      <c r="F189" s="5"/>
    </row>
    <row r="190" spans="2:6" x14ac:dyDescent="0.2">
      <c r="B190" s="5"/>
      <c r="F190" s="5"/>
    </row>
    <row r="191" spans="2:6" x14ac:dyDescent="0.2">
      <c r="B191" s="5"/>
      <c r="F191" s="5"/>
    </row>
    <row r="192" spans="2:6" x14ac:dyDescent="0.2">
      <c r="B192" s="5"/>
      <c r="F192" s="5"/>
    </row>
    <row r="193" spans="2:6" x14ac:dyDescent="0.2">
      <c r="B193" s="5"/>
      <c r="F193" s="5"/>
    </row>
    <row r="194" spans="2:6" x14ac:dyDescent="0.2">
      <c r="B194" s="5"/>
      <c r="F194" s="5"/>
    </row>
    <row r="195" spans="2:6" x14ac:dyDescent="0.2">
      <c r="B195" s="5"/>
      <c r="F195" s="5"/>
    </row>
    <row r="196" spans="2:6" x14ac:dyDescent="0.2">
      <c r="B196" s="5"/>
      <c r="F196" s="5"/>
    </row>
    <row r="197" spans="2:6" x14ac:dyDescent="0.2">
      <c r="B197" s="5"/>
      <c r="F197" s="5"/>
    </row>
    <row r="198" spans="2:6" x14ac:dyDescent="0.2">
      <c r="B198" s="5"/>
      <c r="F198" s="5"/>
    </row>
    <row r="199" spans="2:6" x14ac:dyDescent="0.2">
      <c r="B199" s="5"/>
      <c r="F199" s="5"/>
    </row>
    <row r="200" spans="2:6" x14ac:dyDescent="0.2">
      <c r="B200" s="5"/>
      <c r="F200" s="5"/>
    </row>
    <row r="201" spans="2:6" x14ac:dyDescent="0.2">
      <c r="B201" s="5"/>
      <c r="F201" s="5"/>
    </row>
    <row r="202" spans="2:6" x14ac:dyDescent="0.2">
      <c r="B202" s="5"/>
      <c r="F202" s="5"/>
    </row>
    <row r="203" spans="2:6" x14ac:dyDescent="0.2">
      <c r="B203" s="5"/>
      <c r="F203" s="5"/>
    </row>
    <row r="204" spans="2:6" x14ac:dyDescent="0.2">
      <c r="B204" s="5"/>
      <c r="F204" s="5"/>
    </row>
    <row r="205" spans="2:6" x14ac:dyDescent="0.2">
      <c r="B205" s="5"/>
      <c r="F205" s="5"/>
    </row>
    <row r="206" spans="2:6" x14ac:dyDescent="0.2">
      <c r="B206" s="5"/>
      <c r="F206" s="5"/>
    </row>
    <row r="207" spans="2:6" x14ac:dyDescent="0.2">
      <c r="B207" s="5"/>
      <c r="F207" s="5"/>
    </row>
    <row r="208" spans="2:6" x14ac:dyDescent="0.2">
      <c r="B208" s="5"/>
      <c r="F208" s="5"/>
    </row>
    <row r="209" spans="2:6" x14ac:dyDescent="0.2">
      <c r="B209" s="5"/>
      <c r="F209" s="5"/>
    </row>
    <row r="210" spans="2:6" x14ac:dyDescent="0.2">
      <c r="B210" s="5"/>
      <c r="F210" s="5"/>
    </row>
    <row r="211" spans="2:6" x14ac:dyDescent="0.2">
      <c r="B211" s="5"/>
      <c r="F211" s="5"/>
    </row>
    <row r="212" spans="2:6" x14ac:dyDescent="0.2">
      <c r="B212" s="5"/>
      <c r="F212" s="5"/>
    </row>
    <row r="213" spans="2:6" x14ac:dyDescent="0.2">
      <c r="B213" s="5"/>
      <c r="F213" s="5"/>
    </row>
    <row r="214" spans="2:6" x14ac:dyDescent="0.2">
      <c r="B214" s="5"/>
      <c r="F214" s="5"/>
    </row>
    <row r="215" spans="2:6" x14ac:dyDescent="0.2">
      <c r="B215" s="5"/>
      <c r="F215" s="5"/>
    </row>
    <row r="216" spans="2:6" x14ac:dyDescent="0.2">
      <c r="B216" s="5"/>
      <c r="F216" s="5"/>
    </row>
    <row r="217" spans="2:6" x14ac:dyDescent="0.2">
      <c r="B217" s="5"/>
      <c r="F217" s="5"/>
    </row>
    <row r="218" spans="2:6" x14ac:dyDescent="0.2">
      <c r="B218" s="5"/>
      <c r="F218" s="5"/>
    </row>
    <row r="219" spans="2:6" x14ac:dyDescent="0.2">
      <c r="B219" s="5"/>
      <c r="F219" s="5"/>
    </row>
    <row r="220" spans="2:6" x14ac:dyDescent="0.2">
      <c r="B220" s="5"/>
      <c r="F220" s="5"/>
    </row>
    <row r="221" spans="2:6" x14ac:dyDescent="0.2">
      <c r="B221" s="5"/>
      <c r="F221" s="5"/>
    </row>
    <row r="222" spans="2:6" x14ac:dyDescent="0.2">
      <c r="B222" s="5"/>
      <c r="F222" s="5"/>
    </row>
    <row r="223" spans="2:6" x14ac:dyDescent="0.2">
      <c r="B223" s="5"/>
      <c r="F223" s="5"/>
    </row>
    <row r="224" spans="2:6" x14ac:dyDescent="0.2">
      <c r="B224" s="5"/>
      <c r="F224" s="5"/>
    </row>
    <row r="225" spans="2:6" x14ac:dyDescent="0.2">
      <c r="B225" s="5"/>
      <c r="F225" s="5"/>
    </row>
    <row r="226" spans="2:6" x14ac:dyDescent="0.2">
      <c r="B226" s="5"/>
      <c r="F226" s="5"/>
    </row>
    <row r="227" spans="2:6" x14ac:dyDescent="0.2">
      <c r="B227" s="5"/>
      <c r="F227" s="5"/>
    </row>
    <row r="228" spans="2:6" x14ac:dyDescent="0.2">
      <c r="B228" s="5"/>
      <c r="F228" s="5"/>
    </row>
    <row r="229" spans="2:6" x14ac:dyDescent="0.2">
      <c r="B229" s="5"/>
      <c r="F229" s="5"/>
    </row>
    <row r="230" spans="2:6" x14ac:dyDescent="0.2">
      <c r="B230" s="5"/>
      <c r="F230" s="5"/>
    </row>
    <row r="231" spans="2:6" x14ac:dyDescent="0.2">
      <c r="B231" s="5"/>
      <c r="F231" s="5"/>
    </row>
    <row r="232" spans="2:6" x14ac:dyDescent="0.2">
      <c r="B232" s="5"/>
      <c r="F232" s="5"/>
    </row>
    <row r="233" spans="2:6" x14ac:dyDescent="0.2">
      <c r="B233" s="5"/>
      <c r="F233" s="5"/>
    </row>
    <row r="234" spans="2:6" x14ac:dyDescent="0.2">
      <c r="B234" s="5"/>
      <c r="F234" s="5"/>
    </row>
    <row r="235" spans="2:6" x14ac:dyDescent="0.2">
      <c r="B235" s="5"/>
      <c r="F235" s="5"/>
    </row>
    <row r="236" spans="2:6" x14ac:dyDescent="0.2">
      <c r="B236" s="5"/>
      <c r="F236" s="5"/>
    </row>
    <row r="237" spans="2:6" x14ac:dyDescent="0.2">
      <c r="B237" s="5"/>
      <c r="F237" s="5"/>
    </row>
    <row r="238" spans="2:6" x14ac:dyDescent="0.2">
      <c r="B238" s="5"/>
      <c r="F238" s="5"/>
    </row>
    <row r="239" spans="2:6" x14ac:dyDescent="0.2">
      <c r="B239" s="5"/>
      <c r="F239" s="5"/>
    </row>
    <row r="240" spans="2:6" x14ac:dyDescent="0.2">
      <c r="B240" s="5"/>
      <c r="F240" s="5"/>
    </row>
    <row r="241" spans="2:6" x14ac:dyDescent="0.2">
      <c r="B241" s="5"/>
      <c r="F241" s="5"/>
    </row>
    <row r="242" spans="2:6" x14ac:dyDescent="0.2">
      <c r="B242" s="5"/>
      <c r="F242" s="5"/>
    </row>
    <row r="243" spans="2:6" x14ac:dyDescent="0.2">
      <c r="B243" s="5"/>
      <c r="F243" s="5"/>
    </row>
    <row r="244" spans="2:6" x14ac:dyDescent="0.2">
      <c r="B244" s="5"/>
      <c r="F244" s="5"/>
    </row>
    <row r="245" spans="2:6" x14ac:dyDescent="0.2">
      <c r="B245" s="5"/>
      <c r="F245" s="5"/>
    </row>
    <row r="246" spans="2:6" x14ac:dyDescent="0.2">
      <c r="B246" s="5"/>
      <c r="F246" s="5"/>
    </row>
    <row r="247" spans="2:6" x14ac:dyDescent="0.2">
      <c r="B247" s="5"/>
      <c r="F247" s="5"/>
    </row>
    <row r="248" spans="2:6" x14ac:dyDescent="0.2">
      <c r="B248" s="5"/>
      <c r="F248" s="5"/>
    </row>
    <row r="249" spans="2:6" x14ac:dyDescent="0.2">
      <c r="B249" s="5"/>
      <c r="F249" s="5"/>
    </row>
    <row r="250" spans="2:6" x14ac:dyDescent="0.2">
      <c r="B250" s="5"/>
      <c r="F250" s="5"/>
    </row>
    <row r="251" spans="2:6" x14ac:dyDescent="0.2">
      <c r="B251" s="5"/>
      <c r="F251" s="5"/>
    </row>
    <row r="252" spans="2:6" x14ac:dyDescent="0.2">
      <c r="B252" s="5"/>
      <c r="F252" s="5"/>
    </row>
    <row r="253" spans="2:6" x14ac:dyDescent="0.2">
      <c r="B253" s="5"/>
      <c r="F253" s="5"/>
    </row>
    <row r="254" spans="2:6" x14ac:dyDescent="0.2">
      <c r="B254" s="5"/>
      <c r="F254" s="5"/>
    </row>
    <row r="255" spans="2:6" x14ac:dyDescent="0.2">
      <c r="B255" s="5"/>
      <c r="F255" s="5"/>
    </row>
    <row r="256" spans="2:6" x14ac:dyDescent="0.2">
      <c r="B256" s="5"/>
      <c r="F256" s="5"/>
    </row>
    <row r="257" spans="2:6" x14ac:dyDescent="0.2">
      <c r="B257" s="5"/>
      <c r="F257" s="5"/>
    </row>
    <row r="258" spans="2:6" x14ac:dyDescent="0.2">
      <c r="B258" s="5"/>
      <c r="F258" s="5"/>
    </row>
    <row r="259" spans="2:6" x14ac:dyDescent="0.2">
      <c r="B259" s="5"/>
      <c r="F259" s="5"/>
    </row>
    <row r="260" spans="2:6" x14ac:dyDescent="0.2">
      <c r="B260" s="5"/>
      <c r="F260" s="5"/>
    </row>
    <row r="261" spans="2:6" x14ac:dyDescent="0.2">
      <c r="B261" s="5"/>
      <c r="F261" s="5"/>
    </row>
    <row r="262" spans="2:6" x14ac:dyDescent="0.2">
      <c r="B262" s="5"/>
      <c r="F262" s="5"/>
    </row>
    <row r="263" spans="2:6" x14ac:dyDescent="0.2">
      <c r="B263" s="5"/>
      <c r="F263" s="5"/>
    </row>
    <row r="264" spans="2:6" x14ac:dyDescent="0.2">
      <c r="B264" s="5"/>
      <c r="F264" s="5"/>
    </row>
    <row r="265" spans="2:6" x14ac:dyDescent="0.2">
      <c r="B265" s="5"/>
      <c r="F265" s="5"/>
    </row>
    <row r="266" spans="2:6" x14ac:dyDescent="0.2">
      <c r="B266" s="5"/>
      <c r="F266" s="5"/>
    </row>
    <row r="267" spans="2:6" x14ac:dyDescent="0.2">
      <c r="B267" s="5"/>
      <c r="F267" s="5"/>
    </row>
    <row r="268" spans="2:6" x14ac:dyDescent="0.2">
      <c r="B268" s="5"/>
      <c r="F268" s="5"/>
    </row>
    <row r="269" spans="2:6" x14ac:dyDescent="0.2">
      <c r="B269" s="5"/>
      <c r="F269" s="5"/>
    </row>
    <row r="270" spans="2:6" x14ac:dyDescent="0.2">
      <c r="B270" s="5"/>
      <c r="F270" s="5"/>
    </row>
    <row r="271" spans="2:6" x14ac:dyDescent="0.2">
      <c r="B271" s="5"/>
      <c r="F271" s="5"/>
    </row>
    <row r="272" spans="2:6" x14ac:dyDescent="0.2">
      <c r="B272" s="5"/>
      <c r="F272" s="5"/>
    </row>
    <row r="273" spans="2:6" x14ac:dyDescent="0.2">
      <c r="B273" s="5"/>
      <c r="F273" s="5"/>
    </row>
    <row r="274" spans="2:6" x14ac:dyDescent="0.2">
      <c r="B274" s="5"/>
      <c r="F274" s="5"/>
    </row>
    <row r="275" spans="2:6" x14ac:dyDescent="0.2">
      <c r="B275" s="5"/>
      <c r="F275" s="5"/>
    </row>
    <row r="276" spans="2:6" x14ac:dyDescent="0.2">
      <c r="B276" s="5"/>
      <c r="F276" s="5"/>
    </row>
    <row r="277" spans="2:6" x14ac:dyDescent="0.2">
      <c r="B277" s="5"/>
      <c r="F277" s="5"/>
    </row>
    <row r="278" spans="2:6" x14ac:dyDescent="0.2">
      <c r="B278" s="5"/>
      <c r="F278" s="5"/>
    </row>
    <row r="279" spans="2:6" x14ac:dyDescent="0.2">
      <c r="B279" s="5"/>
      <c r="F279" s="5"/>
    </row>
    <row r="280" spans="2:6" x14ac:dyDescent="0.2">
      <c r="B280" s="5"/>
      <c r="F280" s="5"/>
    </row>
    <row r="281" spans="2:6" x14ac:dyDescent="0.2">
      <c r="B281" s="5"/>
      <c r="F281" s="5"/>
    </row>
    <row r="282" spans="2:6" x14ac:dyDescent="0.2">
      <c r="B282" s="5"/>
      <c r="F282" s="5"/>
    </row>
    <row r="283" spans="2:6" x14ac:dyDescent="0.2">
      <c r="B283" s="5"/>
      <c r="F283" s="5"/>
    </row>
    <row r="284" spans="2:6" x14ac:dyDescent="0.2">
      <c r="B284" s="5"/>
      <c r="F284" s="5"/>
    </row>
    <row r="285" spans="2:6" x14ac:dyDescent="0.2">
      <c r="B285" s="5"/>
      <c r="F285" s="5"/>
    </row>
    <row r="286" spans="2:6" x14ac:dyDescent="0.2">
      <c r="B286" s="5"/>
      <c r="F286" s="5"/>
    </row>
    <row r="287" spans="2:6" x14ac:dyDescent="0.2">
      <c r="B287" s="5"/>
      <c r="F287" s="5"/>
    </row>
    <row r="288" spans="2:6" x14ac:dyDescent="0.2">
      <c r="B288" s="5"/>
      <c r="F288" s="5"/>
    </row>
    <row r="289" spans="2:6" x14ac:dyDescent="0.2">
      <c r="B289" s="5"/>
      <c r="F289" s="5"/>
    </row>
    <row r="290" spans="2:6" x14ac:dyDescent="0.2">
      <c r="B290" s="5"/>
      <c r="F290" s="5"/>
    </row>
    <row r="291" spans="2:6" x14ac:dyDescent="0.2">
      <c r="B291" s="5"/>
      <c r="F291" s="5"/>
    </row>
    <row r="292" spans="2:6" x14ac:dyDescent="0.2">
      <c r="B292" s="5"/>
      <c r="F292" s="5"/>
    </row>
    <row r="293" spans="2:6" x14ac:dyDescent="0.2">
      <c r="B293" s="5"/>
      <c r="F293" s="5"/>
    </row>
    <row r="294" spans="2:6" x14ac:dyDescent="0.2">
      <c r="B294" s="5"/>
      <c r="F294" s="5"/>
    </row>
    <row r="295" spans="2:6" x14ac:dyDescent="0.2">
      <c r="B295" s="5"/>
      <c r="F295" s="5"/>
    </row>
    <row r="296" spans="2:6" x14ac:dyDescent="0.2">
      <c r="B296" s="5"/>
      <c r="F296" s="5"/>
    </row>
    <row r="297" spans="2:6" x14ac:dyDescent="0.2">
      <c r="B297" s="5"/>
      <c r="F297" s="5"/>
    </row>
    <row r="298" spans="2:6" x14ac:dyDescent="0.2">
      <c r="B298" s="5"/>
      <c r="F298" s="5"/>
    </row>
    <row r="299" spans="2:6" x14ac:dyDescent="0.2">
      <c r="B299" s="5"/>
      <c r="F299" s="5"/>
    </row>
    <row r="300" spans="2:6" x14ac:dyDescent="0.2">
      <c r="B300" s="5"/>
      <c r="F300" s="5"/>
    </row>
    <row r="301" spans="2:6" x14ac:dyDescent="0.2">
      <c r="B301" s="5"/>
      <c r="F301" s="5"/>
    </row>
    <row r="302" spans="2:6" x14ac:dyDescent="0.2">
      <c r="B302" s="5"/>
      <c r="F302" s="5"/>
    </row>
    <row r="303" spans="2:6" x14ac:dyDescent="0.2">
      <c r="B303" s="5"/>
      <c r="F303" s="5"/>
    </row>
    <row r="304" spans="2:6" x14ac:dyDescent="0.2">
      <c r="B304" s="5"/>
      <c r="F304" s="5"/>
    </row>
    <row r="305" spans="2:6" x14ac:dyDescent="0.2">
      <c r="B305" s="5"/>
      <c r="F305" s="5"/>
    </row>
    <row r="306" spans="2:6" x14ac:dyDescent="0.2">
      <c r="B306" s="5"/>
      <c r="F306" s="5"/>
    </row>
    <row r="307" spans="2:6" x14ac:dyDescent="0.2">
      <c r="B307" s="5"/>
      <c r="F307" s="5"/>
    </row>
    <row r="308" spans="2:6" x14ac:dyDescent="0.2">
      <c r="B308" s="5"/>
      <c r="F308" s="5"/>
    </row>
    <row r="309" spans="2:6" x14ac:dyDescent="0.2">
      <c r="B309" s="5"/>
      <c r="F309" s="5"/>
    </row>
    <row r="310" spans="2:6" x14ac:dyDescent="0.2">
      <c r="B310" s="5"/>
      <c r="F310" s="5"/>
    </row>
    <row r="311" spans="2:6" x14ac:dyDescent="0.2">
      <c r="B311" s="5"/>
      <c r="F311" s="5"/>
    </row>
    <row r="312" spans="2:6" x14ac:dyDescent="0.2">
      <c r="B312" s="5"/>
      <c r="F312" s="5"/>
    </row>
    <row r="313" spans="2:6" x14ac:dyDescent="0.2">
      <c r="B313" s="5"/>
      <c r="F313" s="5"/>
    </row>
    <row r="314" spans="2:6" x14ac:dyDescent="0.2">
      <c r="B314" s="5"/>
      <c r="F314" s="5"/>
    </row>
    <row r="315" spans="2:6" x14ac:dyDescent="0.2">
      <c r="B315" s="5"/>
      <c r="F315" s="5"/>
    </row>
    <row r="316" spans="2:6" x14ac:dyDescent="0.2">
      <c r="B316" s="5"/>
      <c r="F316" s="5"/>
    </row>
    <row r="317" spans="2:6" x14ac:dyDescent="0.2">
      <c r="B317" s="5"/>
      <c r="F317" s="5"/>
    </row>
    <row r="318" spans="2:6" x14ac:dyDescent="0.2">
      <c r="B318" s="5"/>
      <c r="F318" s="5"/>
    </row>
    <row r="319" spans="2:6" x14ac:dyDescent="0.2">
      <c r="B319" s="5"/>
      <c r="F319" s="5"/>
    </row>
    <row r="320" spans="2:6" x14ac:dyDescent="0.2">
      <c r="B320" s="5"/>
      <c r="F320" s="5"/>
    </row>
    <row r="321" spans="2:6" x14ac:dyDescent="0.2">
      <c r="B321" s="5"/>
      <c r="F321" s="5"/>
    </row>
    <row r="322" spans="2:6" x14ac:dyDescent="0.2">
      <c r="B322" s="5"/>
      <c r="F322" s="5"/>
    </row>
    <row r="323" spans="2:6" x14ac:dyDescent="0.2">
      <c r="B323" s="5"/>
      <c r="F323" s="5"/>
    </row>
    <row r="324" spans="2:6" x14ac:dyDescent="0.2">
      <c r="B324" s="5"/>
      <c r="F324" s="5"/>
    </row>
    <row r="325" spans="2:6" x14ac:dyDescent="0.2">
      <c r="B325" s="5"/>
      <c r="F325" s="5"/>
    </row>
    <row r="326" spans="2:6" x14ac:dyDescent="0.2">
      <c r="B326" s="5"/>
      <c r="F326" s="5"/>
    </row>
    <row r="327" spans="2:6" x14ac:dyDescent="0.2">
      <c r="B327" s="5"/>
      <c r="F327" s="5"/>
    </row>
    <row r="328" spans="2:6" x14ac:dyDescent="0.2">
      <c r="B328" s="5"/>
      <c r="F328" s="5"/>
    </row>
    <row r="329" spans="2:6" x14ac:dyDescent="0.2">
      <c r="B329" s="5"/>
      <c r="F329" s="5"/>
    </row>
    <row r="330" spans="2:6" x14ac:dyDescent="0.2">
      <c r="B330" s="5"/>
      <c r="F330" s="5"/>
    </row>
    <row r="331" spans="2:6" x14ac:dyDescent="0.2">
      <c r="B331" s="5"/>
      <c r="F331" s="5"/>
    </row>
    <row r="332" spans="2:6" x14ac:dyDescent="0.2">
      <c r="B332" s="5"/>
      <c r="F332" s="5"/>
    </row>
    <row r="333" spans="2:6" x14ac:dyDescent="0.2">
      <c r="B333" s="5"/>
      <c r="F333" s="5"/>
    </row>
    <row r="334" spans="2:6" x14ac:dyDescent="0.2">
      <c r="B334" s="5"/>
      <c r="F334" s="5"/>
    </row>
    <row r="335" spans="2:6" x14ac:dyDescent="0.2">
      <c r="B335" s="5"/>
      <c r="F335" s="5"/>
    </row>
    <row r="336" spans="2:6" x14ac:dyDescent="0.2">
      <c r="B336" s="5"/>
      <c r="F336" s="5"/>
    </row>
    <row r="337" spans="2:6" x14ac:dyDescent="0.2">
      <c r="B337" s="5"/>
      <c r="F337" s="5"/>
    </row>
    <row r="338" spans="2:6" x14ac:dyDescent="0.2">
      <c r="B338" s="5"/>
      <c r="F338" s="5"/>
    </row>
    <row r="339" spans="2:6" x14ac:dyDescent="0.2">
      <c r="B339" s="5"/>
      <c r="F339" s="5"/>
    </row>
    <row r="340" spans="2:6" x14ac:dyDescent="0.2">
      <c r="B340" s="5"/>
      <c r="F340" s="5"/>
    </row>
    <row r="341" spans="2:6" x14ac:dyDescent="0.2">
      <c r="B341" s="5"/>
      <c r="F341" s="5"/>
    </row>
    <row r="342" spans="2:6" x14ac:dyDescent="0.2">
      <c r="B342" s="5"/>
      <c r="F342" s="5"/>
    </row>
    <row r="343" spans="2:6" x14ac:dyDescent="0.2">
      <c r="B343" s="5"/>
      <c r="F343" s="5"/>
    </row>
    <row r="344" spans="2:6" x14ac:dyDescent="0.2">
      <c r="B344" s="5"/>
      <c r="F344" s="5"/>
    </row>
    <row r="345" spans="2:6" x14ac:dyDescent="0.2">
      <c r="B345" s="5"/>
      <c r="F345" s="5"/>
    </row>
    <row r="346" spans="2:6" x14ac:dyDescent="0.2">
      <c r="B346" s="5"/>
      <c r="F346" s="5"/>
    </row>
    <row r="347" spans="2:6" x14ac:dyDescent="0.2">
      <c r="B347" s="5"/>
      <c r="F347" s="5"/>
    </row>
    <row r="348" spans="2:6" x14ac:dyDescent="0.2">
      <c r="B348" s="5"/>
      <c r="F348" s="5"/>
    </row>
    <row r="349" spans="2:6" x14ac:dyDescent="0.2">
      <c r="B349" s="5"/>
      <c r="F349" s="5"/>
    </row>
    <row r="350" spans="2:6" x14ac:dyDescent="0.2">
      <c r="B350" s="5"/>
      <c r="F350" s="5"/>
    </row>
    <row r="351" spans="2:6" x14ac:dyDescent="0.2">
      <c r="B351" s="5"/>
      <c r="F351" s="5"/>
    </row>
    <row r="352" spans="2:6" x14ac:dyDescent="0.2">
      <c r="B352" s="5"/>
      <c r="F352" s="5"/>
    </row>
    <row r="353" spans="2:6" x14ac:dyDescent="0.2">
      <c r="B353" s="5"/>
      <c r="F353" s="5"/>
    </row>
    <row r="354" spans="2:6" x14ac:dyDescent="0.2">
      <c r="B354" s="5"/>
      <c r="F354" s="5"/>
    </row>
    <row r="355" spans="2:6" x14ac:dyDescent="0.2">
      <c r="B355" s="5"/>
      <c r="F355" s="5"/>
    </row>
    <row r="356" spans="2:6" x14ac:dyDescent="0.2">
      <c r="B356" s="5"/>
      <c r="F356" s="5"/>
    </row>
    <row r="357" spans="2:6" x14ac:dyDescent="0.2">
      <c r="B357" s="5"/>
      <c r="F357" s="5"/>
    </row>
    <row r="358" spans="2:6" x14ac:dyDescent="0.2">
      <c r="B358" s="5"/>
      <c r="F358" s="5"/>
    </row>
    <row r="359" spans="2:6" x14ac:dyDescent="0.2">
      <c r="B359" s="5"/>
      <c r="F359" s="5"/>
    </row>
    <row r="360" spans="2:6" x14ac:dyDescent="0.2">
      <c r="B360" s="5"/>
      <c r="F360" s="5"/>
    </row>
    <row r="361" spans="2:6" x14ac:dyDescent="0.2">
      <c r="B361" s="5"/>
      <c r="F361" s="5"/>
    </row>
    <row r="362" spans="2:6" x14ac:dyDescent="0.2">
      <c r="B362" s="5"/>
      <c r="F362" s="5"/>
    </row>
    <row r="363" spans="2:6" x14ac:dyDescent="0.2">
      <c r="B363" s="5"/>
      <c r="F363" s="5"/>
    </row>
    <row r="364" spans="2:6" x14ac:dyDescent="0.2">
      <c r="B364" s="5"/>
      <c r="F364" s="5"/>
    </row>
    <row r="365" spans="2:6" x14ac:dyDescent="0.2">
      <c r="B365" s="5"/>
      <c r="F365" s="5"/>
    </row>
    <row r="366" spans="2:6" x14ac:dyDescent="0.2">
      <c r="B366" s="5"/>
      <c r="F366" s="5"/>
    </row>
    <row r="367" spans="2:6" x14ac:dyDescent="0.2">
      <c r="B367" s="5"/>
      <c r="F367" s="5"/>
    </row>
    <row r="368" spans="2:6" x14ac:dyDescent="0.2">
      <c r="B368" s="5"/>
      <c r="F368" s="5"/>
    </row>
    <row r="369" spans="2:6" x14ac:dyDescent="0.2">
      <c r="B369" s="5"/>
      <c r="F369" s="5"/>
    </row>
    <row r="370" spans="2:6" x14ac:dyDescent="0.2">
      <c r="B370" s="5"/>
      <c r="F370" s="5"/>
    </row>
    <row r="371" spans="2:6" x14ac:dyDescent="0.2">
      <c r="B371" s="5"/>
      <c r="F371" s="5"/>
    </row>
    <row r="372" spans="2:6" x14ac:dyDescent="0.2">
      <c r="B372" s="5"/>
      <c r="F372" s="5"/>
    </row>
    <row r="373" spans="2:6" x14ac:dyDescent="0.2">
      <c r="B373" s="5"/>
      <c r="F373" s="5"/>
    </row>
    <row r="374" spans="2:6" x14ac:dyDescent="0.2">
      <c r="B374" s="5"/>
      <c r="F374" s="5"/>
    </row>
    <row r="375" spans="2:6" x14ac:dyDescent="0.2">
      <c r="B375" s="5"/>
      <c r="F375" s="5"/>
    </row>
    <row r="376" spans="2:6" x14ac:dyDescent="0.2">
      <c r="B376" s="5"/>
      <c r="F376" s="5"/>
    </row>
    <row r="377" spans="2:6" x14ac:dyDescent="0.2">
      <c r="B377" s="5"/>
      <c r="F377" s="5"/>
    </row>
    <row r="378" spans="2:6" x14ac:dyDescent="0.2">
      <c r="B378" s="5"/>
      <c r="F378" s="5"/>
    </row>
    <row r="379" spans="2:6" x14ac:dyDescent="0.2">
      <c r="B379" s="5"/>
      <c r="F379" s="5"/>
    </row>
    <row r="380" spans="2:6" x14ac:dyDescent="0.2">
      <c r="B380" s="5"/>
      <c r="F380" s="5"/>
    </row>
    <row r="381" spans="2:6" x14ac:dyDescent="0.2">
      <c r="B381" s="5"/>
      <c r="F381" s="5"/>
    </row>
    <row r="382" spans="2:6" x14ac:dyDescent="0.2">
      <c r="B382" s="5"/>
      <c r="F382" s="5"/>
    </row>
    <row r="383" spans="2:6" x14ac:dyDescent="0.2">
      <c r="B383" s="5"/>
      <c r="F383" s="5"/>
    </row>
    <row r="384" spans="2:6" x14ac:dyDescent="0.2">
      <c r="B384" s="5"/>
      <c r="F384" s="5"/>
    </row>
    <row r="385" spans="2:6" x14ac:dyDescent="0.2">
      <c r="B385" s="5"/>
      <c r="F385" s="5"/>
    </row>
    <row r="386" spans="2:6" x14ac:dyDescent="0.2">
      <c r="B386" s="5"/>
      <c r="F386" s="5"/>
    </row>
    <row r="387" spans="2:6" x14ac:dyDescent="0.2">
      <c r="B387" s="5"/>
      <c r="F387" s="5"/>
    </row>
    <row r="388" spans="2:6" x14ac:dyDescent="0.2">
      <c r="B388" s="5"/>
      <c r="F388" s="5"/>
    </row>
    <row r="389" spans="2:6" x14ac:dyDescent="0.2">
      <c r="B389" s="5"/>
      <c r="F389" s="5"/>
    </row>
    <row r="390" spans="2:6" x14ac:dyDescent="0.2">
      <c r="B390" s="5"/>
      <c r="F390" s="5"/>
    </row>
    <row r="391" spans="2:6" x14ac:dyDescent="0.2">
      <c r="B391" s="5"/>
      <c r="F391" s="5"/>
    </row>
    <row r="392" spans="2:6" x14ac:dyDescent="0.2">
      <c r="B392" s="5"/>
      <c r="F392" s="5"/>
    </row>
    <row r="393" spans="2:6" x14ac:dyDescent="0.2">
      <c r="B393" s="5"/>
      <c r="F393" s="5"/>
    </row>
    <row r="394" spans="2:6" x14ac:dyDescent="0.2">
      <c r="B394" s="5"/>
      <c r="F394" s="5"/>
    </row>
    <row r="395" spans="2:6" x14ac:dyDescent="0.2">
      <c r="B395" s="5"/>
      <c r="F395" s="5"/>
    </row>
    <row r="396" spans="2:6" x14ac:dyDescent="0.2">
      <c r="B396" s="5"/>
      <c r="F396" s="5"/>
    </row>
    <row r="397" spans="2:6" x14ac:dyDescent="0.2">
      <c r="B397" s="5"/>
      <c r="F397" s="5"/>
    </row>
    <row r="398" spans="2:6" x14ac:dyDescent="0.2">
      <c r="B398" s="5"/>
      <c r="F398" s="5"/>
    </row>
    <row r="399" spans="2:6" x14ac:dyDescent="0.2">
      <c r="B399" s="5"/>
      <c r="F399" s="5"/>
    </row>
    <row r="400" spans="2:6" x14ac:dyDescent="0.2">
      <c r="B400" s="5"/>
      <c r="F400" s="5"/>
    </row>
    <row r="401" spans="2:6" x14ac:dyDescent="0.2">
      <c r="B401" s="5"/>
      <c r="F401" s="5"/>
    </row>
    <row r="402" spans="2:6" x14ac:dyDescent="0.2">
      <c r="B402" s="5"/>
      <c r="F402" s="5"/>
    </row>
    <row r="403" spans="2:6" x14ac:dyDescent="0.2">
      <c r="B403" s="5"/>
      <c r="F403" s="5"/>
    </row>
    <row r="404" spans="2:6" x14ac:dyDescent="0.2">
      <c r="B404" s="5"/>
      <c r="F404" s="5"/>
    </row>
    <row r="405" spans="2:6" x14ac:dyDescent="0.2">
      <c r="B405" s="5"/>
      <c r="F405" s="5"/>
    </row>
    <row r="406" spans="2:6" x14ac:dyDescent="0.2">
      <c r="B406" s="5"/>
      <c r="F406" s="5"/>
    </row>
    <row r="407" spans="2:6" x14ac:dyDescent="0.2">
      <c r="B407" s="5"/>
      <c r="F407" s="5"/>
    </row>
    <row r="408" spans="2:6" x14ac:dyDescent="0.2">
      <c r="B408" s="5"/>
      <c r="F408" s="5"/>
    </row>
    <row r="409" spans="2:6" x14ac:dyDescent="0.2">
      <c r="B409" s="5"/>
      <c r="F409" s="5"/>
    </row>
    <row r="410" spans="2:6" x14ac:dyDescent="0.2">
      <c r="B410" s="5"/>
      <c r="F410" s="5"/>
    </row>
    <row r="411" spans="2:6" x14ac:dyDescent="0.2">
      <c r="B411" s="5"/>
      <c r="F411" s="5"/>
    </row>
    <row r="412" spans="2:6" x14ac:dyDescent="0.2">
      <c r="B412" s="5"/>
      <c r="F412" s="5"/>
    </row>
    <row r="413" spans="2:6" x14ac:dyDescent="0.2">
      <c r="B413" s="5"/>
      <c r="F413" s="5"/>
    </row>
    <row r="414" spans="2:6" x14ac:dyDescent="0.2">
      <c r="B414" s="5"/>
      <c r="F414" s="5"/>
    </row>
    <row r="415" spans="2:6" x14ac:dyDescent="0.2">
      <c r="B415" s="5"/>
      <c r="F415" s="5"/>
    </row>
    <row r="416" spans="2:6" x14ac:dyDescent="0.2">
      <c r="B416" s="5"/>
      <c r="F416" s="5"/>
    </row>
    <row r="417" spans="2:6" x14ac:dyDescent="0.2">
      <c r="B417" s="5"/>
      <c r="F417" s="5"/>
    </row>
    <row r="418" spans="2:6" x14ac:dyDescent="0.2">
      <c r="B418" s="5"/>
      <c r="F418" s="5"/>
    </row>
    <row r="419" spans="2:6" x14ac:dyDescent="0.2">
      <c r="B419" s="5"/>
      <c r="F419" s="5"/>
    </row>
    <row r="420" spans="2:6" x14ac:dyDescent="0.2">
      <c r="B420" s="5"/>
      <c r="F420" s="5"/>
    </row>
    <row r="421" spans="2:6" x14ac:dyDescent="0.2">
      <c r="B421" s="5"/>
      <c r="F421" s="5"/>
    </row>
    <row r="422" spans="2:6" x14ac:dyDescent="0.2">
      <c r="B422" s="5"/>
      <c r="F422" s="5"/>
    </row>
    <row r="423" spans="2:6" x14ac:dyDescent="0.2">
      <c r="B423" s="5"/>
      <c r="F423" s="5"/>
    </row>
    <row r="424" spans="2:6" x14ac:dyDescent="0.2">
      <c r="B424" s="5"/>
      <c r="F424" s="5"/>
    </row>
    <row r="425" spans="2:6" x14ac:dyDescent="0.2">
      <c r="B425" s="5"/>
      <c r="F425" s="5"/>
    </row>
    <row r="426" spans="2:6" x14ac:dyDescent="0.2">
      <c r="B426" s="5"/>
      <c r="F426" s="5"/>
    </row>
    <row r="427" spans="2:6" x14ac:dyDescent="0.2">
      <c r="B427" s="5"/>
      <c r="F427" s="5"/>
    </row>
    <row r="428" spans="2:6" x14ac:dyDescent="0.2">
      <c r="B428" s="5"/>
      <c r="F428" s="5"/>
    </row>
    <row r="429" spans="2:6" x14ac:dyDescent="0.2">
      <c r="B429" s="5"/>
      <c r="F429" s="5"/>
    </row>
    <row r="430" spans="2:6" x14ac:dyDescent="0.2">
      <c r="B430" s="5"/>
      <c r="F430" s="5"/>
    </row>
    <row r="431" spans="2:6" x14ac:dyDescent="0.2">
      <c r="B431" s="5"/>
      <c r="F431" s="5"/>
    </row>
    <row r="432" spans="2:6" x14ac:dyDescent="0.2">
      <c r="B432" s="5"/>
      <c r="F432" s="5"/>
    </row>
    <row r="433" spans="2:6" x14ac:dyDescent="0.2">
      <c r="B433" s="5"/>
      <c r="F433" s="5"/>
    </row>
    <row r="434" spans="2:6" x14ac:dyDescent="0.2">
      <c r="B434" s="5"/>
      <c r="F434" s="5"/>
    </row>
    <row r="435" spans="2:6" x14ac:dyDescent="0.2">
      <c r="B435" s="5"/>
      <c r="F435" s="5"/>
    </row>
    <row r="436" spans="2:6" x14ac:dyDescent="0.2">
      <c r="B436" s="5"/>
      <c r="F436" s="5"/>
    </row>
    <row r="437" spans="2:6" x14ac:dyDescent="0.2">
      <c r="B437" s="5"/>
      <c r="F437" s="5"/>
    </row>
    <row r="438" spans="2:6" x14ac:dyDescent="0.2">
      <c r="B438" s="5"/>
      <c r="F438" s="5"/>
    </row>
    <row r="439" spans="2:6" x14ac:dyDescent="0.2">
      <c r="B439" s="5"/>
      <c r="F439" s="5"/>
    </row>
    <row r="440" spans="2:6" x14ac:dyDescent="0.2">
      <c r="B440" s="5"/>
      <c r="F440" s="5"/>
    </row>
    <row r="441" spans="2:6" x14ac:dyDescent="0.2">
      <c r="B441" s="5"/>
      <c r="F441" s="5"/>
    </row>
    <row r="442" spans="2:6" x14ac:dyDescent="0.2">
      <c r="B442" s="5"/>
      <c r="F442" s="5"/>
    </row>
    <row r="443" spans="2:6" x14ac:dyDescent="0.2">
      <c r="B443" s="5"/>
      <c r="F443" s="5"/>
    </row>
    <row r="444" spans="2:6" x14ac:dyDescent="0.2">
      <c r="B444" s="5"/>
      <c r="F444" s="5"/>
    </row>
    <row r="445" spans="2:6" x14ac:dyDescent="0.2">
      <c r="B445" s="5"/>
      <c r="F445" s="5"/>
    </row>
    <row r="446" spans="2:6" x14ac:dyDescent="0.2">
      <c r="B446" s="5"/>
      <c r="F446" s="5"/>
    </row>
    <row r="447" spans="2:6" x14ac:dyDescent="0.2">
      <c r="B447" s="5"/>
      <c r="F447" s="5"/>
    </row>
    <row r="448" spans="2:6" x14ac:dyDescent="0.2">
      <c r="B448" s="5"/>
      <c r="F448" s="5"/>
    </row>
    <row r="449" spans="2:6" x14ac:dyDescent="0.2">
      <c r="B449" s="5"/>
      <c r="F449" s="5"/>
    </row>
    <row r="450" spans="2:6" x14ac:dyDescent="0.2">
      <c r="B450" s="5"/>
      <c r="F450" s="5"/>
    </row>
    <row r="451" spans="2:6" x14ac:dyDescent="0.2">
      <c r="B451" s="5"/>
      <c r="F451" s="5"/>
    </row>
    <row r="452" spans="2:6" x14ac:dyDescent="0.2">
      <c r="B452" s="5"/>
      <c r="F452" s="5"/>
    </row>
    <row r="453" spans="2:6" x14ac:dyDescent="0.2">
      <c r="B453" s="5"/>
      <c r="F453" s="5"/>
    </row>
    <row r="454" spans="2:6" x14ac:dyDescent="0.2">
      <c r="B454" s="5"/>
      <c r="F454" s="5"/>
    </row>
    <row r="455" spans="2:6" x14ac:dyDescent="0.2">
      <c r="B455" s="5"/>
      <c r="F455" s="5"/>
    </row>
    <row r="456" spans="2:6" x14ac:dyDescent="0.2">
      <c r="B456" s="5"/>
      <c r="F456" s="5"/>
    </row>
    <row r="457" spans="2:6" x14ac:dyDescent="0.2">
      <c r="B457" s="5"/>
      <c r="F457" s="5"/>
    </row>
    <row r="458" spans="2:6" x14ac:dyDescent="0.2">
      <c r="B458" s="5"/>
      <c r="F458" s="5"/>
    </row>
    <row r="459" spans="2:6" x14ac:dyDescent="0.2">
      <c r="B459" s="5"/>
      <c r="F459" s="5"/>
    </row>
    <row r="460" spans="2:6" x14ac:dyDescent="0.2">
      <c r="B460" s="5"/>
      <c r="F460" s="5"/>
    </row>
    <row r="461" spans="2:6" x14ac:dyDescent="0.2">
      <c r="B461" s="5"/>
      <c r="F461" s="5"/>
    </row>
    <row r="462" spans="2:6" x14ac:dyDescent="0.2">
      <c r="B462" s="5"/>
      <c r="F462" s="5"/>
    </row>
    <row r="463" spans="2:6" x14ac:dyDescent="0.2">
      <c r="B463" s="5"/>
      <c r="F463" s="5"/>
    </row>
    <row r="464" spans="2:6" x14ac:dyDescent="0.2">
      <c r="B464" s="5"/>
      <c r="F464" s="5"/>
    </row>
    <row r="465" spans="2:6" x14ac:dyDescent="0.2">
      <c r="B465" s="5"/>
      <c r="F465" s="5"/>
    </row>
    <row r="466" spans="2:6" x14ac:dyDescent="0.2">
      <c r="B466" s="5"/>
      <c r="F466" s="5"/>
    </row>
    <row r="467" spans="2:6" x14ac:dyDescent="0.2">
      <c r="B467" s="5"/>
      <c r="F467" s="5"/>
    </row>
    <row r="468" spans="2:6" x14ac:dyDescent="0.2">
      <c r="B468" s="5"/>
      <c r="F468" s="5"/>
    </row>
    <row r="469" spans="2:6" x14ac:dyDescent="0.2">
      <c r="B469" s="5"/>
      <c r="F469" s="5"/>
    </row>
    <row r="470" spans="2:6" x14ac:dyDescent="0.2">
      <c r="B470" s="5"/>
      <c r="F470" s="5"/>
    </row>
    <row r="471" spans="2:6" x14ac:dyDescent="0.2">
      <c r="B471" s="5"/>
      <c r="F471" s="5"/>
    </row>
    <row r="472" spans="2:6" x14ac:dyDescent="0.2">
      <c r="B472" s="5"/>
      <c r="F472" s="5"/>
    </row>
    <row r="473" spans="2:6" x14ac:dyDescent="0.2">
      <c r="B473" s="5"/>
      <c r="F473" s="5"/>
    </row>
    <row r="474" spans="2:6" x14ac:dyDescent="0.2">
      <c r="B474" s="5"/>
      <c r="F474" s="5"/>
    </row>
    <row r="475" spans="2:6" x14ac:dyDescent="0.2">
      <c r="B475" s="5"/>
      <c r="F475" s="5"/>
    </row>
    <row r="476" spans="2:6" x14ac:dyDescent="0.2">
      <c r="B476" s="5"/>
      <c r="F476" s="5"/>
    </row>
    <row r="477" spans="2:6" x14ac:dyDescent="0.2">
      <c r="B477" s="5"/>
      <c r="F477" s="5"/>
    </row>
    <row r="478" spans="2:6" x14ac:dyDescent="0.2">
      <c r="B478" s="5"/>
      <c r="F478" s="5"/>
    </row>
    <row r="479" spans="2:6" x14ac:dyDescent="0.2">
      <c r="B479" s="5"/>
      <c r="F479" s="5"/>
    </row>
    <row r="480" spans="2:6" x14ac:dyDescent="0.2">
      <c r="B480" s="5"/>
      <c r="F480" s="5"/>
    </row>
    <row r="481" spans="2:6" x14ac:dyDescent="0.2">
      <c r="B481" s="5"/>
      <c r="F481" s="5"/>
    </row>
    <row r="482" spans="2:6" x14ac:dyDescent="0.2">
      <c r="B482" s="5"/>
      <c r="F482" s="5"/>
    </row>
    <row r="483" spans="2:6" x14ac:dyDescent="0.2">
      <c r="B483" s="5"/>
      <c r="F483" s="5"/>
    </row>
    <row r="484" spans="2:6" x14ac:dyDescent="0.2">
      <c r="B484" s="5"/>
      <c r="F484" s="5"/>
    </row>
    <row r="485" spans="2:6" x14ac:dyDescent="0.2">
      <c r="B485" s="5"/>
      <c r="F485" s="5"/>
    </row>
    <row r="486" spans="2:6" x14ac:dyDescent="0.2">
      <c r="B486" s="5"/>
      <c r="F486" s="5"/>
    </row>
    <row r="487" spans="2:6" x14ac:dyDescent="0.2">
      <c r="B487" s="5"/>
      <c r="F487" s="5"/>
    </row>
    <row r="488" spans="2:6" x14ac:dyDescent="0.2">
      <c r="B488" s="5"/>
      <c r="F488" s="5"/>
    </row>
    <row r="489" spans="2:6" x14ac:dyDescent="0.2">
      <c r="B489" s="5"/>
      <c r="F489" s="5"/>
    </row>
    <row r="490" spans="2:6" x14ac:dyDescent="0.2">
      <c r="B490" s="5"/>
      <c r="F490" s="5"/>
    </row>
    <row r="491" spans="2:6" x14ac:dyDescent="0.2">
      <c r="B491" s="5"/>
      <c r="F491" s="5"/>
    </row>
    <row r="492" spans="2:6" x14ac:dyDescent="0.2">
      <c r="B492" s="5"/>
      <c r="F492" s="5"/>
    </row>
    <row r="493" spans="2:6" x14ac:dyDescent="0.2">
      <c r="B493" s="5"/>
      <c r="F493" s="5"/>
    </row>
    <row r="494" spans="2:6" x14ac:dyDescent="0.2">
      <c r="B494" s="5"/>
      <c r="F494" s="5"/>
    </row>
    <row r="495" spans="2:6" x14ac:dyDescent="0.2">
      <c r="B495" s="5"/>
      <c r="F495" s="5"/>
    </row>
    <row r="496" spans="2:6" x14ac:dyDescent="0.2">
      <c r="B496" s="5"/>
      <c r="F496" s="5"/>
    </row>
    <row r="497" spans="2:6" x14ac:dyDescent="0.2">
      <c r="B497" s="5"/>
      <c r="F497" s="5"/>
    </row>
    <row r="498" spans="2:6" x14ac:dyDescent="0.2">
      <c r="B498" s="5"/>
      <c r="F498" s="5"/>
    </row>
    <row r="499" spans="2:6" x14ac:dyDescent="0.2">
      <c r="B499" s="5"/>
      <c r="F499" s="5"/>
    </row>
    <row r="500" spans="2:6" x14ac:dyDescent="0.2">
      <c r="B500" s="5"/>
      <c r="F500" s="5"/>
    </row>
    <row r="501" spans="2:6" x14ac:dyDescent="0.2">
      <c r="B501" s="5"/>
      <c r="F501" s="5"/>
    </row>
    <row r="502" spans="2:6" x14ac:dyDescent="0.2">
      <c r="B502" s="5"/>
      <c r="F502" s="5"/>
    </row>
    <row r="503" spans="2:6" x14ac:dyDescent="0.2">
      <c r="B503" s="5"/>
      <c r="F503" s="5"/>
    </row>
    <row r="504" spans="2:6" x14ac:dyDescent="0.2">
      <c r="B504" s="5"/>
      <c r="F504" s="5"/>
    </row>
    <row r="505" spans="2:6" x14ac:dyDescent="0.2">
      <c r="B505" s="5"/>
      <c r="F505" s="5"/>
    </row>
    <row r="506" spans="2:6" x14ac:dyDescent="0.2">
      <c r="B506" s="5"/>
      <c r="F506" s="5"/>
    </row>
    <row r="507" spans="2:6" x14ac:dyDescent="0.2">
      <c r="B507" s="5"/>
      <c r="F507" s="5"/>
    </row>
    <row r="508" spans="2:6" x14ac:dyDescent="0.2">
      <c r="B508" s="5"/>
      <c r="F508" s="5"/>
    </row>
    <row r="509" spans="2:6" x14ac:dyDescent="0.2">
      <c r="B509" s="5"/>
      <c r="F509" s="5"/>
    </row>
    <row r="510" spans="2:6" x14ac:dyDescent="0.2">
      <c r="B510" s="5"/>
      <c r="F510" s="5"/>
    </row>
    <row r="511" spans="2:6" x14ac:dyDescent="0.2">
      <c r="B511" s="5"/>
      <c r="F511" s="5"/>
    </row>
    <row r="512" spans="2:6" x14ac:dyDescent="0.2">
      <c r="B512" s="5"/>
      <c r="F512" s="5"/>
    </row>
    <row r="513" spans="2:6" x14ac:dyDescent="0.2">
      <c r="B513" s="5"/>
      <c r="F513" s="5"/>
    </row>
    <row r="514" spans="2:6" x14ac:dyDescent="0.2">
      <c r="B514" s="5"/>
      <c r="F514" s="5"/>
    </row>
    <row r="515" spans="2:6" x14ac:dyDescent="0.2">
      <c r="B515" s="5"/>
      <c r="F515" s="5"/>
    </row>
    <row r="516" spans="2:6" x14ac:dyDescent="0.2">
      <c r="B516" s="5"/>
      <c r="F516" s="5"/>
    </row>
    <row r="517" spans="2:6" x14ac:dyDescent="0.2">
      <c r="B517" s="5"/>
      <c r="F517" s="5"/>
    </row>
    <row r="518" spans="2:6" x14ac:dyDescent="0.2">
      <c r="B518" s="5"/>
      <c r="F518" s="5"/>
    </row>
    <row r="519" spans="2:6" x14ac:dyDescent="0.2">
      <c r="B519" s="5"/>
      <c r="F519" s="5"/>
    </row>
    <row r="520" spans="2:6" x14ac:dyDescent="0.2">
      <c r="B520" s="5"/>
      <c r="F520" s="5"/>
    </row>
    <row r="521" spans="2:6" x14ac:dyDescent="0.2">
      <c r="B521" s="5"/>
      <c r="F521" s="5"/>
    </row>
    <row r="522" spans="2:6" x14ac:dyDescent="0.2">
      <c r="B522" s="5"/>
      <c r="F522" s="5"/>
    </row>
    <row r="523" spans="2:6" x14ac:dyDescent="0.2">
      <c r="B523" s="5"/>
      <c r="F523" s="5"/>
    </row>
    <row r="524" spans="2:6" x14ac:dyDescent="0.2">
      <c r="B524" s="5"/>
      <c r="F524" s="5"/>
    </row>
    <row r="525" spans="2:6" x14ac:dyDescent="0.2">
      <c r="B525" s="5"/>
      <c r="F525" s="5"/>
    </row>
    <row r="526" spans="2:6" x14ac:dyDescent="0.2">
      <c r="B526" s="5"/>
      <c r="F526" s="5"/>
    </row>
    <row r="527" spans="2:6" x14ac:dyDescent="0.2">
      <c r="B527" s="5"/>
      <c r="F527" s="5"/>
    </row>
    <row r="528" spans="2:6" x14ac:dyDescent="0.2">
      <c r="B528" s="5"/>
      <c r="F528" s="5"/>
    </row>
    <row r="529" spans="2:6" x14ac:dyDescent="0.2">
      <c r="B529" s="5"/>
      <c r="F529" s="5"/>
    </row>
    <row r="530" spans="2:6" x14ac:dyDescent="0.2">
      <c r="B530" s="5"/>
      <c r="F530" s="5"/>
    </row>
    <row r="531" spans="2:6" x14ac:dyDescent="0.2">
      <c r="B531" s="5"/>
      <c r="F531" s="5"/>
    </row>
    <row r="532" spans="2:6" x14ac:dyDescent="0.2">
      <c r="B532" s="5"/>
      <c r="F532" s="5"/>
    </row>
    <row r="533" spans="2:6" x14ac:dyDescent="0.2">
      <c r="B533" s="5"/>
      <c r="F533" s="5"/>
    </row>
    <row r="534" spans="2:6" x14ac:dyDescent="0.2">
      <c r="B534" s="5"/>
      <c r="F534" s="5"/>
    </row>
    <row r="535" spans="2:6" x14ac:dyDescent="0.2">
      <c r="B535" s="5"/>
      <c r="F535" s="5"/>
    </row>
    <row r="536" spans="2:6" x14ac:dyDescent="0.2">
      <c r="B536" s="5"/>
      <c r="F536" s="5"/>
    </row>
    <row r="537" spans="2:6" x14ac:dyDescent="0.2">
      <c r="B537" s="5"/>
      <c r="F537" s="5"/>
    </row>
    <row r="538" spans="2:6" x14ac:dyDescent="0.2">
      <c r="B538" s="5"/>
      <c r="F538" s="5"/>
    </row>
    <row r="539" spans="2:6" x14ac:dyDescent="0.2">
      <c r="B539" s="5"/>
      <c r="F539" s="5"/>
    </row>
    <row r="540" spans="2:6" x14ac:dyDescent="0.2">
      <c r="B540" s="5"/>
      <c r="F540" s="5"/>
    </row>
    <row r="541" spans="2:6" x14ac:dyDescent="0.2">
      <c r="B541" s="5"/>
      <c r="F541" s="5"/>
    </row>
    <row r="542" spans="2:6" x14ac:dyDescent="0.2">
      <c r="B542" s="5"/>
      <c r="F542" s="5"/>
    </row>
    <row r="543" spans="2:6" x14ac:dyDescent="0.2">
      <c r="B543" s="5"/>
      <c r="F543" s="5"/>
    </row>
    <row r="544" spans="2:6" x14ac:dyDescent="0.2">
      <c r="B544" s="5"/>
      <c r="F544" s="5"/>
    </row>
    <row r="545" spans="2:6" x14ac:dyDescent="0.2">
      <c r="B545" s="5"/>
      <c r="F545" s="5"/>
    </row>
    <row r="546" spans="2:6" x14ac:dyDescent="0.2">
      <c r="B546" s="5"/>
      <c r="F546" s="5"/>
    </row>
    <row r="547" spans="2:6" x14ac:dyDescent="0.2">
      <c r="B547" s="5"/>
      <c r="F547" s="5"/>
    </row>
    <row r="548" spans="2:6" x14ac:dyDescent="0.2">
      <c r="B548" s="5"/>
      <c r="F548" s="5"/>
    </row>
    <row r="549" spans="2:6" x14ac:dyDescent="0.2">
      <c r="B549" s="5"/>
      <c r="F549" s="5"/>
    </row>
    <row r="550" spans="2:6" x14ac:dyDescent="0.2">
      <c r="B550" s="5"/>
      <c r="F550" s="5"/>
    </row>
    <row r="551" spans="2:6" x14ac:dyDescent="0.2">
      <c r="B551" s="5"/>
      <c r="F551" s="5"/>
    </row>
    <row r="552" spans="2:6" x14ac:dyDescent="0.2">
      <c r="B552" s="5"/>
      <c r="F552" s="5"/>
    </row>
    <row r="553" spans="2:6" x14ac:dyDescent="0.2">
      <c r="B553" s="5"/>
      <c r="F553" s="5"/>
    </row>
    <row r="554" spans="2:6" x14ac:dyDescent="0.2">
      <c r="B554" s="5"/>
      <c r="F554" s="5"/>
    </row>
    <row r="555" spans="2:6" x14ac:dyDescent="0.2">
      <c r="B555" s="5"/>
      <c r="F555" s="5"/>
    </row>
    <row r="556" spans="2:6" x14ac:dyDescent="0.2">
      <c r="B556" s="5"/>
      <c r="F556" s="5"/>
    </row>
    <row r="557" spans="2:6" x14ac:dyDescent="0.2">
      <c r="B557" s="5"/>
      <c r="F557" s="5"/>
    </row>
    <row r="558" spans="2:6" x14ac:dyDescent="0.2">
      <c r="B558" s="5"/>
      <c r="F558" s="5"/>
    </row>
    <row r="559" spans="2:6" x14ac:dyDescent="0.2">
      <c r="B559" s="5"/>
      <c r="F559" s="5"/>
    </row>
    <row r="560" spans="2:6" x14ac:dyDescent="0.2">
      <c r="B560" s="5"/>
      <c r="F560" s="5"/>
    </row>
    <row r="561" spans="2:6" x14ac:dyDescent="0.2">
      <c r="B561" s="5"/>
      <c r="F561" s="5"/>
    </row>
    <row r="562" spans="2:6" x14ac:dyDescent="0.2">
      <c r="B562" s="5"/>
      <c r="F562" s="5"/>
    </row>
    <row r="563" spans="2:6" x14ac:dyDescent="0.2">
      <c r="B563" s="5"/>
      <c r="F563" s="5"/>
    </row>
    <row r="564" spans="2:6" x14ac:dyDescent="0.2">
      <c r="B564" s="5"/>
      <c r="F564" s="5"/>
    </row>
    <row r="565" spans="2:6" x14ac:dyDescent="0.2">
      <c r="B565" s="5"/>
      <c r="F565" s="5"/>
    </row>
    <row r="566" spans="2:6" x14ac:dyDescent="0.2">
      <c r="B566" s="5"/>
      <c r="F566" s="5"/>
    </row>
    <row r="567" spans="2:6" x14ac:dyDescent="0.2">
      <c r="B567" s="5"/>
      <c r="F567" s="5"/>
    </row>
    <row r="568" spans="2:6" x14ac:dyDescent="0.2">
      <c r="B568" s="5"/>
      <c r="F568" s="5"/>
    </row>
    <row r="569" spans="2:6" x14ac:dyDescent="0.2">
      <c r="B569" s="5"/>
      <c r="F569" s="5"/>
    </row>
    <row r="570" spans="2:6" x14ac:dyDescent="0.2">
      <c r="B570" s="5"/>
      <c r="F570" s="5"/>
    </row>
    <row r="571" spans="2:6" x14ac:dyDescent="0.2">
      <c r="B571" s="5"/>
      <c r="F571" s="5"/>
    </row>
    <row r="572" spans="2:6" x14ac:dyDescent="0.2">
      <c r="B572" s="5"/>
      <c r="F572" s="5"/>
    </row>
    <row r="573" spans="2:6" x14ac:dyDescent="0.2">
      <c r="B573" s="5"/>
      <c r="F573" s="5"/>
    </row>
    <row r="574" spans="2:6" x14ac:dyDescent="0.2">
      <c r="B574" s="5"/>
      <c r="F574" s="5"/>
    </row>
    <row r="575" spans="2:6" x14ac:dyDescent="0.2">
      <c r="B575" s="5"/>
      <c r="F575" s="5"/>
    </row>
    <row r="576" spans="2:6" x14ac:dyDescent="0.2">
      <c r="B576" s="5"/>
      <c r="F576" s="5"/>
    </row>
    <row r="577" spans="2:6" x14ac:dyDescent="0.2">
      <c r="B577" s="5"/>
      <c r="F577" s="5"/>
    </row>
    <row r="578" spans="2:6" x14ac:dyDescent="0.2">
      <c r="B578" s="5"/>
      <c r="F578" s="5"/>
    </row>
    <row r="579" spans="2:6" x14ac:dyDescent="0.2">
      <c r="B579" s="5"/>
      <c r="F579" s="5"/>
    </row>
    <row r="580" spans="2:6" x14ac:dyDescent="0.2">
      <c r="B580" s="5"/>
      <c r="F580" s="5"/>
    </row>
    <row r="581" spans="2:6" x14ac:dyDescent="0.2">
      <c r="B581" s="5"/>
      <c r="F581" s="5"/>
    </row>
    <row r="582" spans="2:6" x14ac:dyDescent="0.2">
      <c r="B582" s="5"/>
      <c r="F582" s="5"/>
    </row>
    <row r="583" spans="2:6" x14ac:dyDescent="0.2">
      <c r="B583" s="5"/>
      <c r="F583" s="5"/>
    </row>
    <row r="584" spans="2:6" x14ac:dyDescent="0.2">
      <c r="B584" s="5"/>
      <c r="F584" s="5"/>
    </row>
    <row r="585" spans="2:6" x14ac:dyDescent="0.2">
      <c r="B585" s="5"/>
      <c r="F585" s="5"/>
    </row>
    <row r="586" spans="2:6" x14ac:dyDescent="0.2">
      <c r="B586" s="5"/>
      <c r="F586" s="5"/>
    </row>
    <row r="587" spans="2:6" x14ac:dyDescent="0.2">
      <c r="B587" s="5"/>
      <c r="F587" s="5"/>
    </row>
    <row r="588" spans="2:6" x14ac:dyDescent="0.2">
      <c r="B588" s="5"/>
      <c r="F588" s="5"/>
    </row>
    <row r="589" spans="2:6" x14ac:dyDescent="0.2">
      <c r="B589" s="5"/>
      <c r="F589" s="5"/>
    </row>
    <row r="590" spans="2:6" x14ac:dyDescent="0.2">
      <c r="B590" s="5"/>
      <c r="F590" s="5"/>
    </row>
    <row r="591" spans="2:6" x14ac:dyDescent="0.2">
      <c r="B591" s="5"/>
      <c r="F591" s="5"/>
    </row>
    <row r="592" spans="2:6" x14ac:dyDescent="0.2">
      <c r="B592" s="5"/>
      <c r="F592" s="5"/>
    </row>
    <row r="593" spans="2:6" x14ac:dyDescent="0.2">
      <c r="B593" s="5"/>
      <c r="F593" s="5"/>
    </row>
    <row r="594" spans="2:6" x14ac:dyDescent="0.2">
      <c r="B594" s="5"/>
      <c r="F594" s="5"/>
    </row>
    <row r="595" spans="2:6" x14ac:dyDescent="0.2">
      <c r="B595" s="5"/>
      <c r="F595" s="5"/>
    </row>
    <row r="596" spans="2:6" x14ac:dyDescent="0.2">
      <c r="B596" s="5"/>
      <c r="F596" s="5"/>
    </row>
    <row r="597" spans="2:6" x14ac:dyDescent="0.2">
      <c r="B597" s="5"/>
      <c r="F597" s="5"/>
    </row>
    <row r="598" spans="2:6" x14ac:dyDescent="0.2">
      <c r="B598" s="5"/>
      <c r="F598" s="5"/>
    </row>
    <row r="599" spans="2:6" x14ac:dyDescent="0.2">
      <c r="B599" s="5"/>
      <c r="F599" s="5"/>
    </row>
    <row r="600" spans="2:6" x14ac:dyDescent="0.2">
      <c r="B600" s="5"/>
      <c r="F600" s="5"/>
    </row>
    <row r="601" spans="2:6" x14ac:dyDescent="0.2">
      <c r="B601" s="5"/>
      <c r="F601" s="5"/>
    </row>
    <row r="602" spans="2:6" x14ac:dyDescent="0.2">
      <c r="B602" s="5"/>
      <c r="F602" s="5"/>
    </row>
    <row r="603" spans="2:6" x14ac:dyDescent="0.2">
      <c r="B603" s="5"/>
      <c r="F603" s="5"/>
    </row>
    <row r="604" spans="2:6" x14ac:dyDescent="0.2">
      <c r="B604" s="5"/>
      <c r="F604" s="5"/>
    </row>
    <row r="605" spans="2:6" x14ac:dyDescent="0.2">
      <c r="B605" s="5"/>
      <c r="F605" s="5"/>
    </row>
    <row r="606" spans="2:6" x14ac:dyDescent="0.2">
      <c r="B606" s="5"/>
      <c r="F606" s="5"/>
    </row>
    <row r="607" spans="2:6" x14ac:dyDescent="0.2">
      <c r="B607" s="5"/>
      <c r="F607" s="5"/>
    </row>
    <row r="608" spans="2:6" x14ac:dyDescent="0.2">
      <c r="B608" s="5"/>
      <c r="F608" s="5"/>
    </row>
    <row r="609" spans="2:6" x14ac:dyDescent="0.2">
      <c r="B609" s="5"/>
      <c r="F609" s="5"/>
    </row>
    <row r="610" spans="2:6" x14ac:dyDescent="0.2">
      <c r="B610" s="5"/>
      <c r="F610" s="5"/>
    </row>
    <row r="611" spans="2:6" x14ac:dyDescent="0.2">
      <c r="B611" s="5"/>
      <c r="F611" s="5"/>
    </row>
    <row r="612" spans="2:6" x14ac:dyDescent="0.2">
      <c r="B612" s="5"/>
      <c r="F612" s="5"/>
    </row>
    <row r="613" spans="2:6" x14ac:dyDescent="0.2">
      <c r="B613" s="5"/>
      <c r="F613" s="5"/>
    </row>
    <row r="614" spans="2:6" x14ac:dyDescent="0.2">
      <c r="B614" s="5"/>
      <c r="F614" s="5"/>
    </row>
    <row r="615" spans="2:6" x14ac:dyDescent="0.2">
      <c r="B615" s="5"/>
      <c r="F615" s="5"/>
    </row>
    <row r="616" spans="2:6" x14ac:dyDescent="0.2">
      <c r="B616" s="5"/>
      <c r="F616" s="5"/>
    </row>
    <row r="617" spans="2:6" x14ac:dyDescent="0.2">
      <c r="B617" s="5"/>
      <c r="F617" s="5"/>
    </row>
    <row r="618" spans="2:6" x14ac:dyDescent="0.2">
      <c r="B618" s="5"/>
      <c r="F618" s="5"/>
    </row>
    <row r="619" spans="2:6" x14ac:dyDescent="0.2">
      <c r="B619" s="5"/>
      <c r="F619" s="5"/>
    </row>
    <row r="620" spans="2:6" x14ac:dyDescent="0.2">
      <c r="B620" s="5"/>
      <c r="F620" s="5"/>
    </row>
    <row r="621" spans="2:6" x14ac:dyDescent="0.2">
      <c r="B621" s="5"/>
      <c r="F621" s="5"/>
    </row>
    <row r="622" spans="2:6" x14ac:dyDescent="0.2">
      <c r="B622" s="5"/>
      <c r="F622" s="5"/>
    </row>
    <row r="623" spans="2:6" x14ac:dyDescent="0.2">
      <c r="B623" s="5"/>
      <c r="F623" s="5"/>
    </row>
    <row r="624" spans="2:6" x14ac:dyDescent="0.2">
      <c r="B624" s="5"/>
      <c r="F624" s="5"/>
    </row>
    <row r="625" spans="2:6" x14ac:dyDescent="0.2">
      <c r="B625" s="5"/>
      <c r="F625" s="5"/>
    </row>
    <row r="626" spans="2:6" x14ac:dyDescent="0.2">
      <c r="B626" s="5"/>
      <c r="F626" s="5"/>
    </row>
    <row r="627" spans="2:6" x14ac:dyDescent="0.2">
      <c r="B627" s="5"/>
      <c r="F627" s="5"/>
    </row>
    <row r="628" spans="2:6" x14ac:dyDescent="0.2">
      <c r="B628" s="5"/>
      <c r="F628" s="5"/>
    </row>
    <row r="629" spans="2:6" x14ac:dyDescent="0.2">
      <c r="B629" s="5"/>
      <c r="F629" s="5"/>
    </row>
    <row r="630" spans="2:6" x14ac:dyDescent="0.2">
      <c r="B630" s="5"/>
      <c r="F630" s="5"/>
    </row>
    <row r="631" spans="2:6" x14ac:dyDescent="0.2">
      <c r="B631" s="5"/>
      <c r="F631" s="5"/>
    </row>
    <row r="632" spans="2:6" x14ac:dyDescent="0.2">
      <c r="B632" s="5"/>
      <c r="F632" s="5"/>
    </row>
    <row r="633" spans="2:6" x14ac:dyDescent="0.2">
      <c r="B633" s="5"/>
      <c r="F633" s="5"/>
    </row>
    <row r="634" spans="2:6" x14ac:dyDescent="0.2">
      <c r="B634" s="5"/>
      <c r="F634" s="5"/>
    </row>
    <row r="635" spans="2:6" x14ac:dyDescent="0.2">
      <c r="B635" s="5"/>
      <c r="F635" s="5"/>
    </row>
    <row r="636" spans="2:6" x14ac:dyDescent="0.2">
      <c r="B636" s="5"/>
      <c r="F636" s="5"/>
    </row>
    <row r="637" spans="2:6" x14ac:dyDescent="0.2">
      <c r="B637" s="5"/>
      <c r="F637" s="5"/>
    </row>
    <row r="638" spans="2:6" x14ac:dyDescent="0.2">
      <c r="B638" s="5"/>
      <c r="F638" s="5"/>
    </row>
    <row r="639" spans="2:6" x14ac:dyDescent="0.2">
      <c r="B639" s="5"/>
      <c r="F639" s="5"/>
    </row>
    <row r="640" spans="2:6" x14ac:dyDescent="0.2">
      <c r="B640" s="5"/>
      <c r="F640" s="5"/>
    </row>
    <row r="641" spans="2:6" x14ac:dyDescent="0.2">
      <c r="B641" s="5"/>
      <c r="F641" s="5"/>
    </row>
    <row r="642" spans="2:6" x14ac:dyDescent="0.2">
      <c r="B642" s="5"/>
      <c r="F642" s="5"/>
    </row>
    <row r="643" spans="2:6" x14ac:dyDescent="0.2">
      <c r="B643" s="5"/>
      <c r="F643" s="5"/>
    </row>
    <row r="644" spans="2:6" x14ac:dyDescent="0.2">
      <c r="B644" s="5"/>
      <c r="F644" s="5"/>
    </row>
    <row r="645" spans="2:6" x14ac:dyDescent="0.2">
      <c r="B645" s="5"/>
      <c r="F645" s="5"/>
    </row>
    <row r="646" spans="2:6" x14ac:dyDescent="0.2">
      <c r="B646" s="5"/>
      <c r="F646" s="5"/>
    </row>
    <row r="647" spans="2:6" x14ac:dyDescent="0.2">
      <c r="B647" s="5"/>
      <c r="F647" s="5"/>
    </row>
    <row r="648" spans="2:6" x14ac:dyDescent="0.2">
      <c r="B648" s="5"/>
      <c r="F648" s="5"/>
    </row>
    <row r="649" spans="2:6" x14ac:dyDescent="0.2">
      <c r="B649" s="5"/>
      <c r="F649" s="5"/>
    </row>
    <row r="650" spans="2:6" x14ac:dyDescent="0.2">
      <c r="B650" s="5"/>
      <c r="F650" s="5"/>
    </row>
    <row r="651" spans="2:6" x14ac:dyDescent="0.2">
      <c r="B651" s="5"/>
      <c r="F651" s="5"/>
    </row>
    <row r="652" spans="2:6" x14ac:dyDescent="0.2">
      <c r="B652" s="5"/>
      <c r="F652" s="5"/>
    </row>
    <row r="653" spans="2:6" x14ac:dyDescent="0.2">
      <c r="B653" s="5"/>
      <c r="F653" s="5"/>
    </row>
    <row r="654" spans="2:6" x14ac:dyDescent="0.2">
      <c r="B654" s="5"/>
      <c r="F654" s="5"/>
    </row>
    <row r="655" spans="2:6" x14ac:dyDescent="0.2">
      <c r="B655" s="5"/>
      <c r="F655" s="5"/>
    </row>
    <row r="656" spans="2:6" x14ac:dyDescent="0.2">
      <c r="B656" s="5"/>
      <c r="F656" s="5"/>
    </row>
    <row r="657" spans="2:6" x14ac:dyDescent="0.2">
      <c r="B657" s="5"/>
      <c r="F657" s="5"/>
    </row>
    <row r="658" spans="2:6" x14ac:dyDescent="0.2">
      <c r="B658" s="5"/>
      <c r="F658" s="5"/>
    </row>
    <row r="659" spans="2:6" x14ac:dyDescent="0.2">
      <c r="B659" s="5"/>
      <c r="F659" s="5"/>
    </row>
    <row r="660" spans="2:6" x14ac:dyDescent="0.2">
      <c r="B660" s="5"/>
      <c r="F660" s="5"/>
    </row>
    <row r="661" spans="2:6" x14ac:dyDescent="0.2">
      <c r="B661" s="5"/>
      <c r="F661" s="5"/>
    </row>
    <row r="662" spans="2:6" x14ac:dyDescent="0.2">
      <c r="B662" s="5"/>
      <c r="F662" s="5"/>
    </row>
    <row r="663" spans="2:6" x14ac:dyDescent="0.2">
      <c r="B663" s="5"/>
      <c r="F663" s="5"/>
    </row>
    <row r="664" spans="2:6" x14ac:dyDescent="0.2">
      <c r="B664" s="5"/>
      <c r="F664" s="5"/>
    </row>
    <row r="665" spans="2:6" x14ac:dyDescent="0.2">
      <c r="B665" s="5"/>
      <c r="F665" s="5"/>
    </row>
    <row r="666" spans="2:6" x14ac:dyDescent="0.2">
      <c r="B666" s="5"/>
      <c r="F666" s="5"/>
    </row>
    <row r="667" spans="2:6" x14ac:dyDescent="0.2">
      <c r="B667" s="5"/>
      <c r="F667" s="5"/>
    </row>
    <row r="668" spans="2:6" x14ac:dyDescent="0.2">
      <c r="B668" s="5"/>
      <c r="F668" s="5"/>
    </row>
    <row r="669" spans="2:6" x14ac:dyDescent="0.2">
      <c r="B669" s="5"/>
      <c r="F669" s="5"/>
    </row>
    <row r="670" spans="2:6" x14ac:dyDescent="0.2">
      <c r="B670" s="5"/>
      <c r="F670" s="5"/>
    </row>
    <row r="671" spans="2:6" x14ac:dyDescent="0.2">
      <c r="B671" s="5"/>
      <c r="F671" s="5"/>
    </row>
    <row r="672" spans="2:6" x14ac:dyDescent="0.2">
      <c r="B672" s="5"/>
      <c r="F672" s="5"/>
    </row>
    <row r="673" spans="2:6" x14ac:dyDescent="0.2">
      <c r="B673" s="5"/>
      <c r="F673" s="5"/>
    </row>
    <row r="674" spans="2:6" x14ac:dyDescent="0.2">
      <c r="B674" s="5"/>
      <c r="F674" s="5"/>
    </row>
    <row r="675" spans="2:6" x14ac:dyDescent="0.2">
      <c r="B675" s="5"/>
      <c r="F675" s="5"/>
    </row>
    <row r="676" spans="2:6" x14ac:dyDescent="0.2">
      <c r="B676" s="5"/>
      <c r="F676" s="5"/>
    </row>
    <row r="677" spans="2:6" x14ac:dyDescent="0.2">
      <c r="B677" s="5"/>
      <c r="F677" s="5"/>
    </row>
    <row r="678" spans="2:6" x14ac:dyDescent="0.2">
      <c r="B678" s="5"/>
      <c r="F678" s="5"/>
    </row>
    <row r="679" spans="2:6" x14ac:dyDescent="0.2">
      <c r="B679" s="5"/>
      <c r="F679" s="5"/>
    </row>
    <row r="680" spans="2:6" x14ac:dyDescent="0.2">
      <c r="B680" s="5"/>
      <c r="F680" s="5"/>
    </row>
    <row r="681" spans="2:6" x14ac:dyDescent="0.2">
      <c r="B681" s="5"/>
      <c r="F681" s="5"/>
    </row>
    <row r="682" spans="2:6" x14ac:dyDescent="0.2">
      <c r="B682" s="5"/>
      <c r="F682" s="5"/>
    </row>
    <row r="683" spans="2:6" x14ac:dyDescent="0.2">
      <c r="B683" s="5"/>
      <c r="F683" s="5"/>
    </row>
    <row r="684" spans="2:6" x14ac:dyDescent="0.2">
      <c r="B684" s="5"/>
      <c r="F684" s="5"/>
    </row>
    <row r="685" spans="2:6" x14ac:dyDescent="0.2">
      <c r="B685" s="5"/>
      <c r="F685" s="5"/>
    </row>
    <row r="686" spans="2:6" x14ac:dyDescent="0.2">
      <c r="B686" s="5"/>
      <c r="F686" s="5"/>
    </row>
    <row r="687" spans="2:6" x14ac:dyDescent="0.2">
      <c r="B687" s="5"/>
      <c r="F687" s="5"/>
    </row>
    <row r="688" spans="2:6" x14ac:dyDescent="0.2">
      <c r="B688" s="5"/>
      <c r="F688" s="5"/>
    </row>
    <row r="689" spans="2:6" x14ac:dyDescent="0.2">
      <c r="B689" s="5"/>
      <c r="F689" s="5"/>
    </row>
    <row r="690" spans="2:6" x14ac:dyDescent="0.2">
      <c r="B690" s="5"/>
      <c r="F690" s="5"/>
    </row>
    <row r="691" spans="2:6" x14ac:dyDescent="0.2">
      <c r="B691" s="5"/>
      <c r="F691" s="5"/>
    </row>
    <row r="692" spans="2:6" x14ac:dyDescent="0.2">
      <c r="B692" s="5"/>
      <c r="F692" s="5"/>
    </row>
    <row r="693" spans="2:6" x14ac:dyDescent="0.2">
      <c r="B693" s="5"/>
      <c r="F693" s="5"/>
    </row>
    <row r="694" spans="2:6" x14ac:dyDescent="0.2">
      <c r="B694" s="5"/>
      <c r="F694" s="5"/>
    </row>
    <row r="695" spans="2:6" x14ac:dyDescent="0.2">
      <c r="B695" s="5"/>
      <c r="F695" s="5"/>
    </row>
    <row r="696" spans="2:6" x14ac:dyDescent="0.2">
      <c r="B696" s="5"/>
      <c r="F696" s="5"/>
    </row>
    <row r="697" spans="2:6" x14ac:dyDescent="0.2">
      <c r="B697" s="5"/>
      <c r="F697" s="5"/>
    </row>
    <row r="698" spans="2:6" x14ac:dyDescent="0.2">
      <c r="B698" s="5"/>
      <c r="F698" s="5"/>
    </row>
    <row r="699" spans="2:6" x14ac:dyDescent="0.2">
      <c r="B699" s="5"/>
      <c r="F699" s="5"/>
    </row>
    <row r="700" spans="2:6" x14ac:dyDescent="0.2">
      <c r="B700" s="5"/>
      <c r="F700" s="5"/>
    </row>
    <row r="701" spans="2:6" x14ac:dyDescent="0.2">
      <c r="B701" s="5"/>
      <c r="F701" s="5"/>
    </row>
    <row r="702" spans="2:6" x14ac:dyDescent="0.2">
      <c r="B702" s="5"/>
      <c r="F702" s="5"/>
    </row>
    <row r="703" spans="2:6" x14ac:dyDescent="0.2">
      <c r="B703" s="5"/>
      <c r="F703" s="5"/>
    </row>
    <row r="704" spans="2:6" x14ac:dyDescent="0.2">
      <c r="B704" s="5"/>
      <c r="F704" s="5"/>
    </row>
    <row r="705" spans="2:6" x14ac:dyDescent="0.2">
      <c r="B705" s="5"/>
      <c r="F705" s="5"/>
    </row>
    <row r="706" spans="2:6" x14ac:dyDescent="0.2">
      <c r="B706" s="5"/>
      <c r="F706" s="5"/>
    </row>
    <row r="707" spans="2:6" x14ac:dyDescent="0.2">
      <c r="B707" s="5"/>
      <c r="F707" s="5"/>
    </row>
    <row r="708" spans="2:6" x14ac:dyDescent="0.2">
      <c r="B708" s="5"/>
      <c r="F708" s="5"/>
    </row>
    <row r="709" spans="2:6" x14ac:dyDescent="0.2">
      <c r="B709" s="5"/>
      <c r="F709" s="5"/>
    </row>
    <row r="710" spans="2:6" x14ac:dyDescent="0.2">
      <c r="B710" s="5"/>
      <c r="F710" s="5"/>
    </row>
    <row r="711" spans="2:6" x14ac:dyDescent="0.2">
      <c r="B711" s="5"/>
      <c r="F711" s="5"/>
    </row>
    <row r="712" spans="2:6" x14ac:dyDescent="0.2">
      <c r="B712" s="5"/>
      <c r="F712" s="5"/>
    </row>
    <row r="713" spans="2:6" x14ac:dyDescent="0.2">
      <c r="B713" s="5"/>
      <c r="F713" s="5"/>
    </row>
    <row r="714" spans="2:6" x14ac:dyDescent="0.2">
      <c r="B714" s="5"/>
      <c r="F714" s="5"/>
    </row>
    <row r="715" spans="2:6" x14ac:dyDescent="0.2">
      <c r="B715" s="5"/>
      <c r="F715" s="5"/>
    </row>
    <row r="716" spans="2:6" x14ac:dyDescent="0.2">
      <c r="B716" s="5"/>
      <c r="F716" s="5"/>
    </row>
    <row r="717" spans="2:6" x14ac:dyDescent="0.2">
      <c r="B717" s="5"/>
      <c r="F717" s="5"/>
    </row>
    <row r="718" spans="2:6" x14ac:dyDescent="0.2">
      <c r="B718" s="5"/>
      <c r="F718" s="5"/>
    </row>
    <row r="719" spans="2:6" x14ac:dyDescent="0.2">
      <c r="B719" s="5"/>
      <c r="F719" s="5"/>
    </row>
    <row r="720" spans="2:6" x14ac:dyDescent="0.2">
      <c r="B720" s="5"/>
      <c r="F720" s="5"/>
    </row>
    <row r="721" spans="2:6" x14ac:dyDescent="0.2">
      <c r="B721" s="5"/>
      <c r="F721" s="5"/>
    </row>
    <row r="722" spans="2:6" x14ac:dyDescent="0.2">
      <c r="B722" s="5"/>
      <c r="F722" s="5"/>
    </row>
    <row r="723" spans="2:6" x14ac:dyDescent="0.2">
      <c r="B723" s="5"/>
      <c r="F723" s="5"/>
    </row>
    <row r="724" spans="2:6" x14ac:dyDescent="0.2">
      <c r="B724" s="5"/>
      <c r="F724" s="5"/>
    </row>
    <row r="725" spans="2:6" x14ac:dyDescent="0.2">
      <c r="B725" s="5"/>
      <c r="F725" s="5"/>
    </row>
    <row r="726" spans="2:6" x14ac:dyDescent="0.2">
      <c r="B726" s="5"/>
      <c r="F726" s="5"/>
    </row>
    <row r="727" spans="2:6" x14ac:dyDescent="0.2">
      <c r="B727" s="5"/>
      <c r="F727" s="5"/>
    </row>
    <row r="728" spans="2:6" x14ac:dyDescent="0.2">
      <c r="B728" s="5"/>
      <c r="F728" s="5"/>
    </row>
    <row r="729" spans="2:6" x14ac:dyDescent="0.2">
      <c r="B729" s="5"/>
      <c r="F729" s="5"/>
    </row>
    <row r="730" spans="2:6" x14ac:dyDescent="0.2">
      <c r="B730" s="5"/>
      <c r="F730" s="5"/>
    </row>
    <row r="731" spans="2:6" x14ac:dyDescent="0.2">
      <c r="B731" s="5"/>
      <c r="F731" s="5"/>
    </row>
    <row r="732" spans="2:6" x14ac:dyDescent="0.2">
      <c r="B732" s="5"/>
      <c r="F732" s="5"/>
    </row>
    <row r="733" spans="2:6" x14ac:dyDescent="0.2">
      <c r="B733" s="5"/>
      <c r="F733" s="5"/>
    </row>
    <row r="734" spans="2:6" x14ac:dyDescent="0.2">
      <c r="B734" s="5"/>
      <c r="F734" s="5"/>
    </row>
    <row r="735" spans="2:6" x14ac:dyDescent="0.2">
      <c r="B735" s="5"/>
      <c r="F735" s="5"/>
    </row>
    <row r="736" spans="2:6" x14ac:dyDescent="0.2">
      <c r="B736" s="5"/>
      <c r="F736" s="5"/>
    </row>
    <row r="737" spans="2:6" x14ac:dyDescent="0.2">
      <c r="B737" s="5"/>
      <c r="F737" s="5"/>
    </row>
    <row r="738" spans="2:6" x14ac:dyDescent="0.2">
      <c r="B738" s="5"/>
      <c r="F738" s="5"/>
    </row>
    <row r="739" spans="2:6" x14ac:dyDescent="0.2">
      <c r="B739" s="5"/>
      <c r="F739" s="5"/>
    </row>
    <row r="740" spans="2:6" x14ac:dyDescent="0.2">
      <c r="B740" s="5"/>
      <c r="F740" s="5"/>
    </row>
    <row r="741" spans="2:6" x14ac:dyDescent="0.2">
      <c r="B741" s="5"/>
      <c r="F741" s="5"/>
    </row>
    <row r="742" spans="2:6" x14ac:dyDescent="0.2">
      <c r="B742" s="5"/>
      <c r="F742" s="5"/>
    </row>
    <row r="743" spans="2:6" x14ac:dyDescent="0.2">
      <c r="B743" s="5"/>
      <c r="F743" s="5"/>
    </row>
    <row r="744" spans="2:6" x14ac:dyDescent="0.2">
      <c r="B744" s="5"/>
      <c r="F744" s="5"/>
    </row>
    <row r="745" spans="2:6" x14ac:dyDescent="0.2">
      <c r="B745" s="5"/>
      <c r="F745" s="5"/>
    </row>
    <row r="746" spans="2:6" x14ac:dyDescent="0.2">
      <c r="B746" s="5"/>
      <c r="F746" s="5"/>
    </row>
    <row r="747" spans="2:6" x14ac:dyDescent="0.2">
      <c r="B747" s="5"/>
      <c r="F747" s="5"/>
    </row>
    <row r="748" spans="2:6" x14ac:dyDescent="0.2">
      <c r="B748" s="5"/>
      <c r="F748" s="5"/>
    </row>
    <row r="749" spans="2:6" x14ac:dyDescent="0.2">
      <c r="B749" s="5"/>
      <c r="F749" s="5"/>
    </row>
    <row r="750" spans="2:6" x14ac:dyDescent="0.2">
      <c r="B750" s="5"/>
      <c r="F750" s="5"/>
    </row>
    <row r="751" spans="2:6" x14ac:dyDescent="0.2">
      <c r="B751" s="5"/>
      <c r="F751" s="5"/>
    </row>
    <row r="752" spans="2:6" x14ac:dyDescent="0.2">
      <c r="B752" s="5"/>
      <c r="F752" s="5"/>
    </row>
    <row r="753" spans="2:6" x14ac:dyDescent="0.2">
      <c r="B753" s="5"/>
      <c r="F753" s="5"/>
    </row>
    <row r="754" spans="2:6" x14ac:dyDescent="0.2">
      <c r="B754" s="5"/>
      <c r="F754" s="5"/>
    </row>
    <row r="755" spans="2:6" x14ac:dyDescent="0.2">
      <c r="B755" s="5"/>
      <c r="F755" s="5"/>
    </row>
    <row r="756" spans="2:6" x14ac:dyDescent="0.2">
      <c r="B756" s="5"/>
      <c r="F756" s="5"/>
    </row>
    <row r="757" spans="2:6" x14ac:dyDescent="0.2">
      <c r="B757" s="5"/>
      <c r="F757" s="5"/>
    </row>
    <row r="758" spans="2:6" x14ac:dyDescent="0.2">
      <c r="B758" s="5"/>
      <c r="F758" s="5"/>
    </row>
    <row r="759" spans="2:6" x14ac:dyDescent="0.2">
      <c r="B759" s="5"/>
      <c r="F759" s="5"/>
    </row>
    <row r="760" spans="2:6" x14ac:dyDescent="0.2">
      <c r="B760" s="5"/>
      <c r="F760" s="5"/>
    </row>
    <row r="761" spans="2:6" x14ac:dyDescent="0.2">
      <c r="B761" s="5"/>
      <c r="F761" s="5"/>
    </row>
    <row r="762" spans="2:6" x14ac:dyDescent="0.2">
      <c r="B762" s="5"/>
      <c r="F762" s="5"/>
    </row>
    <row r="763" spans="2:6" x14ac:dyDescent="0.2">
      <c r="B763" s="5"/>
      <c r="F763" s="5"/>
    </row>
    <row r="764" spans="2:6" x14ac:dyDescent="0.2">
      <c r="B764" s="5"/>
      <c r="F764" s="5"/>
    </row>
    <row r="765" spans="2:6" x14ac:dyDescent="0.2">
      <c r="B765" s="5"/>
      <c r="F765" s="5"/>
    </row>
    <row r="766" spans="2:6" x14ac:dyDescent="0.2">
      <c r="B766" s="5"/>
      <c r="F766" s="5"/>
    </row>
    <row r="767" spans="2:6" x14ac:dyDescent="0.2">
      <c r="B767" s="5"/>
      <c r="F767" s="5"/>
    </row>
    <row r="768" spans="2:6" x14ac:dyDescent="0.2">
      <c r="B768" s="5"/>
      <c r="F768" s="5"/>
    </row>
    <row r="769" spans="2:6" x14ac:dyDescent="0.2">
      <c r="B769" s="5"/>
      <c r="F769" s="5"/>
    </row>
    <row r="770" spans="2:6" x14ac:dyDescent="0.2">
      <c r="B770" s="5"/>
      <c r="F770" s="5"/>
    </row>
    <row r="771" spans="2:6" x14ac:dyDescent="0.2">
      <c r="B771" s="5"/>
      <c r="F771" s="5"/>
    </row>
    <row r="772" spans="2:6" x14ac:dyDescent="0.2">
      <c r="B772" s="5"/>
      <c r="F772" s="5"/>
    </row>
    <row r="773" spans="2:6" x14ac:dyDescent="0.2">
      <c r="B773" s="5"/>
      <c r="F773" s="5"/>
    </row>
    <row r="774" spans="2:6" x14ac:dyDescent="0.2">
      <c r="B774" s="5"/>
      <c r="F774" s="5"/>
    </row>
    <row r="775" spans="2:6" x14ac:dyDescent="0.2">
      <c r="B775" s="5"/>
      <c r="F775" s="5"/>
    </row>
    <row r="776" spans="2:6" x14ac:dyDescent="0.2">
      <c r="B776" s="5"/>
      <c r="F776" s="5"/>
    </row>
    <row r="777" spans="2:6" x14ac:dyDescent="0.2">
      <c r="B777" s="5"/>
      <c r="F777" s="5"/>
    </row>
    <row r="778" spans="2:6" x14ac:dyDescent="0.2">
      <c r="B778" s="5"/>
      <c r="F778" s="5"/>
    </row>
    <row r="779" spans="2:6" x14ac:dyDescent="0.2">
      <c r="B779" s="5"/>
      <c r="F779" s="5"/>
    </row>
    <row r="780" spans="2:6" x14ac:dyDescent="0.2">
      <c r="B780" s="5"/>
      <c r="F780" s="5"/>
    </row>
    <row r="781" spans="2:6" x14ac:dyDescent="0.2">
      <c r="B781" s="5"/>
      <c r="F781" s="5"/>
    </row>
    <row r="782" spans="2:6" x14ac:dyDescent="0.2">
      <c r="B782" s="5"/>
      <c r="F782" s="5"/>
    </row>
    <row r="783" spans="2:6" x14ac:dyDescent="0.2">
      <c r="B783" s="5"/>
      <c r="F783" s="5"/>
    </row>
    <row r="784" spans="2:6" x14ac:dyDescent="0.2">
      <c r="B784" s="5"/>
      <c r="F784" s="5"/>
    </row>
    <row r="785" spans="2:6" x14ac:dyDescent="0.2">
      <c r="B785" s="5"/>
      <c r="F785" s="5"/>
    </row>
    <row r="786" spans="2:6" x14ac:dyDescent="0.2">
      <c r="B786" s="5"/>
      <c r="F786" s="5"/>
    </row>
    <row r="787" spans="2:6" x14ac:dyDescent="0.2">
      <c r="B787" s="5"/>
      <c r="F787" s="5"/>
    </row>
    <row r="788" spans="2:6" x14ac:dyDescent="0.2">
      <c r="B788" s="5"/>
      <c r="F788" s="5"/>
    </row>
    <row r="789" spans="2:6" x14ac:dyDescent="0.2">
      <c r="B789" s="5"/>
      <c r="F789" s="5"/>
    </row>
    <row r="790" spans="2:6" x14ac:dyDescent="0.2">
      <c r="B790" s="5"/>
      <c r="F790" s="5"/>
    </row>
    <row r="791" spans="2:6" x14ac:dyDescent="0.2">
      <c r="B791" s="5"/>
      <c r="F791" s="5"/>
    </row>
    <row r="792" spans="2:6" x14ac:dyDescent="0.2">
      <c r="B792" s="5"/>
      <c r="F792" s="5"/>
    </row>
    <row r="793" spans="2:6" x14ac:dyDescent="0.2">
      <c r="B793" s="5"/>
      <c r="F793" s="5"/>
    </row>
    <row r="794" spans="2:6" x14ac:dyDescent="0.2">
      <c r="B794" s="5"/>
      <c r="F794" s="5"/>
    </row>
    <row r="795" spans="2:6" x14ac:dyDescent="0.2">
      <c r="B795" s="5"/>
      <c r="F795" s="5"/>
    </row>
    <row r="796" spans="2:6" x14ac:dyDescent="0.2">
      <c r="B796" s="5"/>
      <c r="F796" s="5"/>
    </row>
    <row r="797" spans="2:6" x14ac:dyDescent="0.2">
      <c r="B797" s="5"/>
      <c r="F797" s="5"/>
    </row>
    <row r="798" spans="2:6" x14ac:dyDescent="0.2">
      <c r="B798" s="5"/>
      <c r="F798" s="5"/>
    </row>
    <row r="799" spans="2:6" x14ac:dyDescent="0.2">
      <c r="B799" s="5"/>
      <c r="F799" s="5"/>
    </row>
    <row r="800" spans="2:6" x14ac:dyDescent="0.2">
      <c r="B800" s="5"/>
      <c r="F800" s="5"/>
    </row>
    <row r="801" spans="2:6" x14ac:dyDescent="0.2">
      <c r="B801" s="5"/>
      <c r="F801" s="5"/>
    </row>
    <row r="802" spans="2:6" x14ac:dyDescent="0.2">
      <c r="B802" s="5"/>
      <c r="F802" s="5"/>
    </row>
    <row r="803" spans="2:6" x14ac:dyDescent="0.2">
      <c r="B803" s="5"/>
      <c r="F803" s="5"/>
    </row>
    <row r="804" spans="2:6" x14ac:dyDescent="0.2">
      <c r="B804" s="5"/>
      <c r="F804" s="5"/>
    </row>
    <row r="805" spans="2:6" x14ac:dyDescent="0.2">
      <c r="B805" s="5"/>
      <c r="F805" s="5"/>
    </row>
    <row r="806" spans="2:6" x14ac:dyDescent="0.2">
      <c r="B806" s="5"/>
      <c r="F806" s="5"/>
    </row>
    <row r="807" spans="2:6" x14ac:dyDescent="0.2">
      <c r="B807" s="5"/>
      <c r="F807" s="5"/>
    </row>
    <row r="808" spans="2:6" x14ac:dyDescent="0.2">
      <c r="B808" s="5"/>
      <c r="F808" s="5"/>
    </row>
    <row r="809" spans="2:6" x14ac:dyDescent="0.2">
      <c r="B809" s="5"/>
      <c r="F809" s="5"/>
    </row>
    <row r="810" spans="2:6" x14ac:dyDescent="0.2">
      <c r="B810" s="5"/>
      <c r="F810" s="5"/>
    </row>
    <row r="811" spans="2:6" x14ac:dyDescent="0.2">
      <c r="B811" s="5"/>
      <c r="F811" s="5"/>
    </row>
    <row r="812" spans="2:6" x14ac:dyDescent="0.2">
      <c r="B812" s="5"/>
      <c r="F812" s="5"/>
    </row>
    <row r="813" spans="2:6" x14ac:dyDescent="0.2">
      <c r="B813" s="5"/>
      <c r="F813" s="5"/>
    </row>
    <row r="814" spans="2:6" x14ac:dyDescent="0.2">
      <c r="B814" s="5"/>
      <c r="F814" s="5"/>
    </row>
    <row r="815" spans="2:6" x14ac:dyDescent="0.2">
      <c r="B815" s="5"/>
      <c r="F815" s="5"/>
    </row>
    <row r="816" spans="2:6" x14ac:dyDescent="0.2">
      <c r="B816" s="5"/>
      <c r="F816" s="5"/>
    </row>
    <row r="817" spans="2:6" x14ac:dyDescent="0.2">
      <c r="B817" s="5"/>
      <c r="F817" s="5"/>
    </row>
    <row r="818" spans="2:6" x14ac:dyDescent="0.2">
      <c r="B818" s="5"/>
      <c r="F818" s="5"/>
    </row>
    <row r="819" spans="2:6" x14ac:dyDescent="0.2">
      <c r="B819" s="5"/>
      <c r="F819" s="5"/>
    </row>
    <row r="820" spans="2:6" x14ac:dyDescent="0.2">
      <c r="B820" s="5"/>
      <c r="F820" s="5"/>
    </row>
    <row r="821" spans="2:6" x14ac:dyDescent="0.2">
      <c r="B821" s="5"/>
      <c r="F821" s="5"/>
    </row>
    <row r="822" spans="2:6" x14ac:dyDescent="0.2">
      <c r="B822" s="5"/>
      <c r="F822" s="5"/>
    </row>
    <row r="823" spans="2:6" x14ac:dyDescent="0.2">
      <c r="B823" s="5"/>
      <c r="F823" s="5"/>
    </row>
    <row r="824" spans="2:6" x14ac:dyDescent="0.2">
      <c r="B824" s="5"/>
      <c r="F824" s="5"/>
    </row>
    <row r="825" spans="2:6" x14ac:dyDescent="0.2">
      <c r="B825" s="5"/>
      <c r="F825" s="5"/>
    </row>
    <row r="826" spans="2:6" x14ac:dyDescent="0.2">
      <c r="B826" s="5"/>
      <c r="F826" s="5"/>
    </row>
    <row r="827" spans="2:6" x14ac:dyDescent="0.2">
      <c r="B827" s="5"/>
      <c r="F827" s="5"/>
    </row>
    <row r="828" spans="2:6" x14ac:dyDescent="0.2">
      <c r="B828" s="5"/>
      <c r="F828" s="5"/>
    </row>
    <row r="829" spans="2:6" x14ac:dyDescent="0.2">
      <c r="B829" s="5"/>
      <c r="F829" s="5"/>
    </row>
    <row r="830" spans="2:6" x14ac:dyDescent="0.2">
      <c r="B830" s="5"/>
      <c r="F830" s="5"/>
    </row>
    <row r="831" spans="2:6" x14ac:dyDescent="0.2">
      <c r="B831" s="5"/>
      <c r="F831" s="5"/>
    </row>
    <row r="832" spans="2:6" x14ac:dyDescent="0.2">
      <c r="B832" s="5"/>
      <c r="F832" s="5"/>
    </row>
    <row r="833" spans="2:6" x14ac:dyDescent="0.2">
      <c r="B833" s="5"/>
      <c r="F833" s="5"/>
    </row>
    <row r="834" spans="2:6" x14ac:dyDescent="0.2">
      <c r="B834" s="5"/>
      <c r="F834" s="5"/>
    </row>
  </sheetData>
  <phoneticPr fontId="9" type="noConversion"/>
  <hyperlinks>
    <hyperlink ref="P12" r:id="rId1" display="http://www.konkoly.hu/cgi-bin/IBVS?5603"/>
    <hyperlink ref="P13" r:id="rId2" display="http://www.bav-astro.de/sfs/BAVM_link.php?BAVMnr=173"/>
    <hyperlink ref="P14" r:id="rId3" display="http://www.konkoly.hu/cgi-bin/IBVS?5690"/>
    <hyperlink ref="P15" r:id="rId4" display="http://www.konkoly.hu/cgi-bin/IBVS?5690"/>
    <hyperlink ref="P16" r:id="rId5" display="http://www.konkoly.hu/cgi-bin/IBVS?5690"/>
    <hyperlink ref="P17" r:id="rId6" display="http://www.konkoly.hu/cgi-bin/IBVS?5672"/>
    <hyperlink ref="P18" r:id="rId7" display="http://www.bav-astro.de/sfs/BAVM_link.php?BAVMnr=178"/>
    <hyperlink ref="P19" r:id="rId8" display="http://www.bav-astro.de/sfs/BAVM_link.php?BAVMnr=178"/>
    <hyperlink ref="P20" r:id="rId9" display="http://www.bav-astro.de/sfs/BAVM_link.php?BAVMnr=178"/>
    <hyperlink ref="P21" r:id="rId10" display="http://www.bav-astro.de/sfs/BAVM_link.php?BAVMnr=186"/>
    <hyperlink ref="P22" r:id="rId11" display="http://www.konkoly.hu/cgi-bin/IBVS?5837"/>
    <hyperlink ref="P23" r:id="rId12" display="http://www.bav-astro.de/sfs/BAVM_link.php?BAVMnr=209"/>
    <hyperlink ref="P24" r:id="rId13" display="http://www.konkoly.hu/cgi-bin/IBVS?5945"/>
    <hyperlink ref="P25" r:id="rId14" display="http://www.bav-astro.de/sfs/BAVM_link.php?BAVMnr=215"/>
    <hyperlink ref="P26" r:id="rId15" display="http://www.konkoly.hu/cgi-bin/IBVS?5992"/>
    <hyperlink ref="P27" r:id="rId16" display="http://www.bav-astro.de/sfs/BAVM_link.php?BAVMnr=228"/>
    <hyperlink ref="P28" r:id="rId17" display="http://www.bav-astro.de/sfs/BAVM_link.php?BAVMnr=228"/>
    <hyperlink ref="P31" r:id="rId18" display="http://www.konkoly.hu/cgi-bin/IBVS?6050"/>
    <hyperlink ref="P29" r:id="rId19" display="http://www.bav-astro.de/sfs/BAVM_link.php?BAVMnr=228"/>
    <hyperlink ref="P30" r:id="rId20" display="http://www.bav-astro.de/sfs/BAVM_link.php?BAVMnr=232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Active</vt:lpstr>
      <vt:lpstr>A (old)</vt:lpstr>
      <vt:lpstr>B</vt:lpstr>
      <vt:lpstr>C</vt:lpstr>
      <vt:lpstr>D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2024-02-14T03:41:14Z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1890845731</vt:i4>
  </property>
  <property fmtid="{D5CDD505-2E9C-101B-9397-08002B2CF9AE}" pid="3" name="_EmailSubject">
    <vt:lpwstr>V731 Her - recommend updated ephemeris</vt:lpwstr>
  </property>
  <property fmtid="{D5CDD505-2E9C-101B-9397-08002B2CF9AE}" pid="4" name="_AuthorEmail">
    <vt:lpwstr>tkrajci@san.osd.mil</vt:lpwstr>
  </property>
  <property fmtid="{D5CDD505-2E9C-101B-9397-08002B2CF9AE}" pid="5" name="_AuthorEmailDisplayName">
    <vt:lpwstr>Tom Krajci</vt:lpwstr>
  </property>
  <property fmtid="{D5CDD505-2E9C-101B-9397-08002B2CF9AE}" pid="6" name="_ReviewingToolsShownOnce">
    <vt:lpwstr/>
  </property>
</Properties>
</file>