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32211D-FA42-408F-8064-8D18300DC1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/>
  <c r="G43" i="1"/>
  <c r="J43" i="1"/>
  <c r="F11" i="1"/>
  <c r="Q43" i="1"/>
  <c r="E40" i="1"/>
  <c r="F40" i="1"/>
  <c r="G40" i="1"/>
  <c r="N40" i="1"/>
  <c r="E24" i="1"/>
  <c r="F24" i="1"/>
  <c r="G24" i="1"/>
  <c r="L24" i="1"/>
  <c r="E25" i="1"/>
  <c r="F25" i="1"/>
  <c r="G25" i="1"/>
  <c r="M25" i="1"/>
  <c r="E26" i="1"/>
  <c r="F26" i="1"/>
  <c r="G26" i="1"/>
  <c r="L26" i="1"/>
  <c r="E27" i="1"/>
  <c r="F27" i="1"/>
  <c r="G27" i="1"/>
  <c r="L27" i="1"/>
  <c r="E28" i="1"/>
  <c r="F28" i="1"/>
  <c r="G28" i="1"/>
  <c r="J28" i="1"/>
  <c r="E29" i="1"/>
  <c r="F29" i="1"/>
  <c r="G29" i="1"/>
  <c r="E30" i="1"/>
  <c r="F30" i="1"/>
  <c r="G30" i="1"/>
  <c r="L30" i="1"/>
  <c r="E31" i="1"/>
  <c r="F31" i="1"/>
  <c r="G31" i="1"/>
  <c r="L31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G37" i="1"/>
  <c r="E38" i="1"/>
  <c r="F38" i="1"/>
  <c r="G38" i="1"/>
  <c r="L38" i="1"/>
  <c r="E39" i="1"/>
  <c r="F39" i="1"/>
  <c r="G39" i="1"/>
  <c r="J39" i="1"/>
  <c r="E41" i="1"/>
  <c r="F41" i="1"/>
  <c r="G41" i="1"/>
  <c r="M41" i="1"/>
  <c r="E42" i="1"/>
  <c r="F42" i="1"/>
  <c r="G42" i="1"/>
  <c r="J42" i="1"/>
  <c r="G11" i="1"/>
  <c r="Q40" i="1"/>
  <c r="G25" i="2"/>
  <c r="C25" i="2"/>
  <c r="E25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4" i="2"/>
  <c r="C24" i="2"/>
  <c r="E24" i="2"/>
  <c r="G13" i="2"/>
  <c r="C13" i="2"/>
  <c r="E13" i="2"/>
  <c r="G12" i="2"/>
  <c r="C12" i="2"/>
  <c r="E12" i="2"/>
  <c r="G11" i="2"/>
  <c r="C11" i="2"/>
  <c r="E11" i="2"/>
  <c r="H25" i="2"/>
  <c r="D25" i="2"/>
  <c r="B25" i="2"/>
  <c r="A25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4" i="2"/>
  <c r="B24" i="2"/>
  <c r="D24" i="2"/>
  <c r="A24" i="2"/>
  <c r="H13" i="2"/>
  <c r="D13" i="2"/>
  <c r="B13" i="2"/>
  <c r="A13" i="2"/>
  <c r="H12" i="2"/>
  <c r="B12" i="2"/>
  <c r="D12" i="2"/>
  <c r="A12" i="2"/>
  <c r="H11" i="2"/>
  <c r="D11" i="2"/>
  <c r="B11" i="2"/>
  <c r="A11" i="2"/>
  <c r="Q35" i="1"/>
  <c r="Q34" i="1"/>
  <c r="Q33" i="1"/>
  <c r="Q32" i="1"/>
  <c r="Q42" i="1"/>
  <c r="E22" i="1"/>
  <c r="F22" i="1"/>
  <c r="G22" i="1"/>
  <c r="I22" i="1"/>
  <c r="E23" i="1"/>
  <c r="F23" i="1"/>
  <c r="G23" i="1"/>
  <c r="I23" i="1"/>
  <c r="Q38" i="1"/>
  <c r="Q41" i="1"/>
  <c r="E21" i="1"/>
  <c r="F21" i="1"/>
  <c r="G21" i="1"/>
  <c r="H21" i="1"/>
  <c r="E14" i="1"/>
  <c r="E15" i="1" s="1"/>
  <c r="C17" i="1"/>
  <c r="Q39" i="1"/>
  <c r="Q25" i="1"/>
  <c r="Q36" i="1"/>
  <c r="Q24" i="1"/>
  <c r="Q21" i="1"/>
  <c r="Q22" i="1"/>
  <c r="Q23" i="1"/>
  <c r="Q26" i="1"/>
  <c r="Q27" i="1"/>
  <c r="Q28" i="1"/>
  <c r="K29" i="1"/>
  <c r="Q29" i="1"/>
  <c r="Q30" i="1"/>
  <c r="Q31" i="1"/>
  <c r="J37" i="1"/>
  <c r="Q37" i="1"/>
  <c r="C11" i="1"/>
  <c r="C12" i="1" l="1"/>
  <c r="C16" i="1" l="1"/>
  <c r="D18" i="1" s="1"/>
  <c r="O37" i="1"/>
  <c r="O43" i="1"/>
  <c r="O31" i="1"/>
  <c r="O34" i="1"/>
  <c r="O33" i="1"/>
  <c r="O26" i="1"/>
  <c r="O21" i="1"/>
  <c r="C15" i="1"/>
  <c r="O24" i="1"/>
  <c r="O39" i="1"/>
  <c r="O38" i="1"/>
  <c r="O23" i="1"/>
  <c r="O28" i="1"/>
  <c r="O29" i="1"/>
  <c r="O32" i="1"/>
  <c r="O42" i="1"/>
  <c r="O30" i="1"/>
  <c r="O36" i="1"/>
  <c r="O25" i="1"/>
  <c r="O40" i="1"/>
  <c r="O22" i="1"/>
  <c r="O27" i="1"/>
  <c r="O35" i="1"/>
  <c r="O41" i="1"/>
  <c r="C18" i="1" l="1"/>
  <c r="E16" i="1"/>
  <c r="E17" i="1" s="1"/>
</calcChain>
</file>

<file path=xl/sharedStrings.xml><?xml version="1.0" encoding="utf-8"?>
<sst xmlns="http://schemas.openxmlformats.org/spreadsheetml/2006/main" count="225" uniqueCount="140">
  <si>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</si>
  <si>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</si>
  <si>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</si>
  <si>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</si>
  <si>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</si>
  <si>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</si>
  <si>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</si>
  <si>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</si>
  <si>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</si>
  <si>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</si>
  <si>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</si>
  <si>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</si>
  <si>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</si>
  <si>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</si>
  <si>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</si>
  <si>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</si>
  <si>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</si>
  <si>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</si>
  <si>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</si>
  <si>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</si>
  <si>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</si>
  <si>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</si>
  <si>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</si>
  <si>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</si>
  <si>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</si>
  <si>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</t>
  </si>
  <si>
    <t>V0921 Her / HIP 82344</t>
  </si>
  <si>
    <t>EB</t>
  </si>
  <si>
    <t>Not Avail</t>
  </si>
  <si>
    <t>Not avail.</t>
  </si>
  <si>
    <t>Hipparcos</t>
  </si>
  <si>
    <t>ROTSE</t>
  </si>
  <si>
    <t>II?</t>
  </si>
  <si>
    <t>I?</t>
  </si>
  <si>
    <t>IBVS 5602</t>
  </si>
  <si>
    <t>IBVS 5592</t>
  </si>
  <si>
    <t>II</t>
  </si>
  <si>
    <t>IBVS 5603</t>
  </si>
  <si>
    <t>I</t>
  </si>
  <si>
    <t>Krajci</t>
  </si>
  <si>
    <t>IBVS 5645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</si>
  <si>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</si>
  <si>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</si>
  <si>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</si>
  <si>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</si>
  <si>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</si>
  <si>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</si>
  <si>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</si>
  <si>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5760</t>
  </si>
  <si>
    <t>Start of linear fit &gt;&gt;&gt;&gt;&gt;&gt;&gt;&gt;&gt;&gt;&gt;&gt;&gt;&gt;&gt;&gt;&gt;&gt;&gt;&gt;&gt;</t>
  </si>
  <si>
    <t>IBVS 5668</t>
  </si>
  <si>
    <t>OEJV</t>
  </si>
  <si>
    <t>OEJV 0074</t>
  </si>
  <si>
    <t>Period confirmed by ToMcat 2010-01-03</t>
  </si>
  <si>
    <t>Add cycle</t>
  </si>
  <si>
    <t>Old Cycle</t>
  </si>
  <si>
    <t>IBVS 5966</t>
  </si>
  <si>
    <t>IBVS 5974</t>
  </si>
  <si>
    <t>OEJV 0137</t>
  </si>
  <si>
    <t>IBVS 6153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</si>
  <si>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</si>
  <si>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</si>
  <si>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</si>
  <si>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</si>
  <si>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</si>
  <si>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</si>
  <si>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</si>
  <si>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</si>
  <si>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</si>
  <si>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</si>
  <si>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</si>
  <si>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</si>
  <si>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2452808.49003 </t>
  </si>
  <si>
    <t> 17.06.2003 23:45 </t>
  </si>
  <si>
    <t> -0.00339 </t>
  </si>
  <si>
    <t>C </t>
  </si>
  <si>
    <t>R</t>
  </si>
  <si>
    <t> O.Pejcha </t>
  </si>
  <si>
    <t>OEJV 0074 </t>
  </si>
  <si>
    <t>2452840.5150 </t>
  </si>
  <si>
    <t> 20.07.2003 00:21 </t>
  </si>
  <si>
    <t> -0.0028 </t>
  </si>
  <si>
    <t>E </t>
  </si>
  <si>
    <t>?</t>
  </si>
  <si>
    <t>IBVS 5645 </t>
  </si>
  <si>
    <t>2452862.4454 </t>
  </si>
  <si>
    <t> 10.08.2003 22:41 </t>
  </si>
  <si>
    <t> -0.0070 </t>
  </si>
  <si>
    <t>2453087.9381 </t>
  </si>
  <si>
    <t> 23.03.2004 10:30 </t>
  </si>
  <si>
    <t> -0.0012 </t>
  </si>
  <si>
    <t> R.Nelson </t>
  </si>
  <si>
    <t>IBVS 5602 </t>
  </si>
  <si>
    <t>2453095.3998 </t>
  </si>
  <si>
    <t> 30.03.2004 21:35 </t>
  </si>
  <si>
    <t> 0.0028 </t>
  </si>
  <si>
    <t> T.Krajci </t>
  </si>
  <si>
    <t>IBVS 5592 </t>
  </si>
  <si>
    <t>2453131.802 </t>
  </si>
  <si>
    <t> 06.05.2004 07:14 </t>
  </si>
  <si>
    <t> -0.006 </t>
  </si>
  <si>
    <t> S.Dvorak </t>
  </si>
  <si>
    <t>IBVS 5603 </t>
  </si>
  <si>
    <t>2453146.724 </t>
  </si>
  <si>
    <t> 21.05.2004 05:22 </t>
  </si>
  <si>
    <t> 0.000 </t>
  </si>
  <si>
    <t>2453256.3965 </t>
  </si>
  <si>
    <t> 07.09.2004 21:30 </t>
  </si>
  <si>
    <t> 0.0001 </t>
  </si>
  <si>
    <t>VRI</t>
  </si>
  <si>
    <t> M.Petropoulou et al. </t>
  </si>
  <si>
    <t>IBVS 6153 </t>
  </si>
  <si>
    <t>2453257.2741 </t>
  </si>
  <si>
    <t> 08.09.2004 18:34 </t>
  </si>
  <si>
    <t> 0.0003 </t>
  </si>
  <si>
    <t>2453260.3439 </t>
  </si>
  <si>
    <t> 11.09.2004 20:15 </t>
  </si>
  <si>
    <t> -0.0007 </t>
  </si>
  <si>
    <t>2453264.2957 </t>
  </si>
  <si>
    <t> 15.09.2004 19:05 </t>
  </si>
  <si>
    <t>2453821.8693 </t>
  </si>
  <si>
    <t> 27.03.2006 08:51 </t>
  </si>
  <si>
    <t> 0.0008 </t>
  </si>
  <si>
    <t>IBVS 5760 </t>
  </si>
  <si>
    <t>2455270.851 </t>
  </si>
  <si>
    <t> 15.03.2010 08:25 </t>
  </si>
  <si>
    <t> -0.012 </t>
  </si>
  <si>
    <t>IBVS 5974 </t>
  </si>
  <si>
    <t>2455298.9376 </t>
  </si>
  <si>
    <t> 12.04.2010 10:30 </t>
  </si>
  <si>
    <t> -0.0018 </t>
  </si>
  <si>
    <t>IBVS 5966 </t>
  </si>
  <si>
    <t>2455374.3931 </t>
  </si>
  <si>
    <t> 26.06.2010 21:26 </t>
  </si>
  <si>
    <t> -0.0011 </t>
  </si>
  <si>
    <t> S.Poddaný </t>
  </si>
  <si>
    <t>OEJV 0137 </t>
  </si>
  <si>
    <t>RHN 2017</t>
  </si>
  <si>
    <t>Nelson Pers com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</si>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</sst>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2" fontId="0" fillId="0" borderId="0" xfId="0" applyNumberFormat="1" applyAlignment="1"/>
    <xf numFmtId="173" fontId="0" fillId="0" borderId="0" xfId="0" applyNumberFormat="1" applyAlignment="1"/>
    <xf numFmtId="0" fontId="0" fillId="0" borderId="0" xfId="0">
      <alignment vertical="top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7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5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V0921 Her - O-C Diagr.</a:t>
            </a:r>
          </a:p>
        </c:rich>
      </c:tx>
      <c:layout>
        <c:manualLayout>
          <c:xMode val="edge"/>
          <c:yMode val="edge"/>
          <c:x val="0.38176697998220305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5232699030532"/>
          <c:y val="0.14328358208955225"/>
          <c:w val="0.81908945853568282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3-4E7D-883B-CFF53616AF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3.3975309997913428E-3</c:v>
                </c:pt>
                <c:pt idx="2">
                  <c:v>-3.3932299993466586E-3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63-4E7D-883B-CFF53616AF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-1.4894360894686542E-2</c:v>
                </c:pt>
                <c:pt idx="16">
                  <c:v>-1.332169100351166E-2</c:v>
                </c:pt>
                <c:pt idx="18">
                  <c:v>-1.681397799984552E-2</c:v>
                </c:pt>
                <c:pt idx="21">
                  <c:v>-7.5628890044754371E-3</c:v>
                </c:pt>
                <c:pt idx="22">
                  <c:v>-9.0174689976265654E-3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63-4E7D-883B-CFF53616AF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8">
                  <c:v>-1.0921474997303449E-2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63-4E7D-883B-CFF53616AF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3">
                  <c:v>-1.7342580002150498E-2</c:v>
                </c:pt>
                <c:pt idx="5">
                  <c:v>-1.6389333999541122E-2</c:v>
                </c:pt>
                <c:pt idx="6">
                  <c:v>-2.0527384003798943E-2</c:v>
                </c:pt>
                <c:pt idx="9">
                  <c:v>-2.0054638000146952E-2</c:v>
                </c:pt>
                <c:pt idx="10">
                  <c:v>-1.3540511994506232E-2</c:v>
                </c:pt>
                <c:pt idx="11">
                  <c:v>-1.3730761995248031E-2</c:v>
                </c:pt>
                <c:pt idx="12">
                  <c:v>-1.3512284000171348E-2</c:v>
                </c:pt>
                <c:pt idx="13">
                  <c:v>-1.4547610997396987E-2</c:v>
                </c:pt>
                <c:pt idx="14">
                  <c:v>-1.096445999428397E-2</c:v>
                </c:pt>
                <c:pt idx="15">
                  <c:v>-1.1269953996816184E-2</c:v>
                </c:pt>
                <c:pt idx="17">
                  <c:v>-2.7205273996514734E-2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63-4E7D-883B-CFF53616AF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  <c:pt idx="4">
                  <c:v>-1.6933781000261661E-2</c:v>
                </c:pt>
                <c:pt idx="20">
                  <c:v>-1.6074870000011288E-2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63-4E7D-883B-CFF53616AF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9">
                  <c:v>-1.612487000238616E-2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63-4E7D-883B-CFF53616AF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-1.892474054970766E-2</c:v>
                </c:pt>
                <c:pt idx="1">
                  <c:v>-1.6939073273690045E-2</c:v>
                </c:pt>
                <c:pt idx="2">
                  <c:v>-1.6938764412704508E-2</c:v>
                </c:pt>
                <c:pt idx="3">
                  <c:v>-1.590408011115543E-2</c:v>
                </c:pt>
                <c:pt idx="4">
                  <c:v>-1.5891416810748411E-2</c:v>
                </c:pt>
                <c:pt idx="5">
                  <c:v>-1.5868869958804207E-2</c:v>
                </c:pt>
                <c:pt idx="6">
                  <c:v>-1.5853426909527357E-2</c:v>
                </c:pt>
                <c:pt idx="7">
                  <c:v>-1.5694672362961321E-2</c:v>
                </c:pt>
                <c:pt idx="8">
                  <c:v>-1.568942172620719E-2</c:v>
                </c:pt>
                <c:pt idx="9">
                  <c:v>-1.5663786264407616E-2</c:v>
                </c:pt>
                <c:pt idx="10">
                  <c:v>-1.5653284990899356E-2</c:v>
                </c:pt>
                <c:pt idx="11">
                  <c:v>-1.5576069744515097E-2</c:v>
                </c:pt>
                <c:pt idx="12">
                  <c:v>-1.5575452022544022E-2</c:v>
                </c:pt>
                <c:pt idx="13">
                  <c:v>-1.5573289995645263E-2</c:v>
                </c:pt>
                <c:pt idx="14">
                  <c:v>-1.5570510246775429E-2</c:v>
                </c:pt>
                <c:pt idx="15">
                  <c:v>-1.5430287359341615E-2</c:v>
                </c:pt>
                <c:pt idx="16">
                  <c:v>-1.5177947934157856E-2</c:v>
                </c:pt>
                <c:pt idx="17">
                  <c:v>-1.415778009892902E-2</c:v>
                </c:pt>
                <c:pt idx="18">
                  <c:v>-1.4138012995854649E-2</c:v>
                </c:pt>
                <c:pt idx="19">
                  <c:v>-1.4084888906342279E-2</c:v>
                </c:pt>
                <c:pt idx="20">
                  <c:v>-1.4084888906342279E-2</c:v>
                </c:pt>
                <c:pt idx="21">
                  <c:v>-1.2855931044890405E-2</c:v>
                </c:pt>
                <c:pt idx="22">
                  <c:v>-1.2306158490634479E-2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63-4E7D-883B-CFF53616A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80648"/>
        <c:axId val="1"/>
      </c:scatterChart>
      <c:valAx>
        <c:axId val="565080648"/>
        <c:scaling>
          <c:orientation val="minMax"/>
          <c:max val="10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90776259805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08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7080482461059"/>
          <c:y val="0.92238805970149251"/>
          <c:w val="0.75071329758993799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V0921 Her - O-C Diagr.</a:t>
            </a:r>
          </a:p>
        </c:rich>
      </c:tx>
      <c:layout>
        <c:manualLayout>
          <c:xMode val="edge"/>
          <c:yMode val="edge"/>
          <c:x val="0.3661290322580645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769252958613219"/>
          <c:w val="0.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1-4DDA-92F0-BBD570A883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3.3975309997913428E-3</c:v>
                </c:pt>
                <c:pt idx="2">
                  <c:v>-3.3932299993466586E-3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1-4DDA-92F0-BBD570A883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-1.4894360894686542E-2</c:v>
                </c:pt>
                <c:pt idx="16">
                  <c:v>-1.332169100351166E-2</c:v>
                </c:pt>
                <c:pt idx="18">
                  <c:v>-1.681397799984552E-2</c:v>
                </c:pt>
                <c:pt idx="21">
                  <c:v>-7.5628890044754371E-3</c:v>
                </c:pt>
                <c:pt idx="22">
                  <c:v>-9.0174689976265654E-3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1-4DDA-92F0-BBD570A883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8">
                  <c:v>-1.0921474997303449E-2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1-4DDA-92F0-BBD570A883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3">
                  <c:v>-1.7342580002150498E-2</c:v>
                </c:pt>
                <c:pt idx="5">
                  <c:v>-1.6389333999541122E-2</c:v>
                </c:pt>
                <c:pt idx="6">
                  <c:v>-2.0527384003798943E-2</c:v>
                </c:pt>
                <c:pt idx="9">
                  <c:v>-2.0054638000146952E-2</c:v>
                </c:pt>
                <c:pt idx="10">
                  <c:v>-1.3540511994506232E-2</c:v>
                </c:pt>
                <c:pt idx="11">
                  <c:v>-1.3730761995248031E-2</c:v>
                </c:pt>
                <c:pt idx="12">
                  <c:v>-1.3512284000171348E-2</c:v>
                </c:pt>
                <c:pt idx="13">
                  <c:v>-1.4547610997396987E-2</c:v>
                </c:pt>
                <c:pt idx="14">
                  <c:v>-1.096445999428397E-2</c:v>
                </c:pt>
                <c:pt idx="15">
                  <c:v>-1.1269953996816184E-2</c:v>
                </c:pt>
                <c:pt idx="17">
                  <c:v>-2.7205273996514734E-2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1-4DDA-92F0-BBD570A883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  <c:pt idx="4">
                  <c:v>-1.6933781000261661E-2</c:v>
                </c:pt>
                <c:pt idx="20">
                  <c:v>-1.6074870000011288E-2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1-4DDA-92F0-BBD570A883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5.0000000000000001E-4</c:v>
                  </c:pt>
                  <c:pt idx="6">
                    <c:v>1.2999999999999999E-3</c:v>
                  </c:pt>
                  <c:pt idx="7">
                    <c:v>1.4999999999999999E-4</c:v>
                  </c:pt>
                  <c:pt idx="8">
                    <c:v>2.5000000000000001E-3</c:v>
                  </c:pt>
                  <c:pt idx="9">
                    <c:v>4.0000000000000001E-3</c:v>
                  </c:pt>
                  <c:pt idx="10">
                    <c:v>3.0000000000000001E-3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1.2999999999999999E-3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9">
                  <c:v>-1.612487000238616E-2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1-4DDA-92F0-BBD570A883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3214.5</c:v>
                </c:pt>
                <c:pt idx="2">
                  <c:v>3215</c:v>
                </c:pt>
                <c:pt idx="3">
                  <c:v>4890</c:v>
                </c:pt>
                <c:pt idx="4">
                  <c:v>4910.5</c:v>
                </c:pt>
                <c:pt idx="5">
                  <c:v>4947</c:v>
                </c:pt>
                <c:pt idx="6">
                  <c:v>4972</c:v>
                </c:pt>
                <c:pt idx="7">
                  <c:v>5229</c:v>
                </c:pt>
                <c:pt idx="8">
                  <c:v>5237.5</c:v>
                </c:pt>
                <c:pt idx="9">
                  <c:v>5279</c:v>
                </c:pt>
                <c:pt idx="10">
                  <c:v>5296</c:v>
                </c:pt>
                <c:pt idx="11">
                  <c:v>5421</c:v>
                </c:pt>
                <c:pt idx="12">
                  <c:v>5422</c:v>
                </c:pt>
                <c:pt idx="13">
                  <c:v>5425.5</c:v>
                </c:pt>
                <c:pt idx="14">
                  <c:v>5430</c:v>
                </c:pt>
                <c:pt idx="15">
                  <c:v>5657</c:v>
                </c:pt>
                <c:pt idx="16">
                  <c:v>6065.5</c:v>
                </c:pt>
                <c:pt idx="17">
                  <c:v>7717</c:v>
                </c:pt>
                <c:pt idx="18">
                  <c:v>7749</c:v>
                </c:pt>
                <c:pt idx="19">
                  <c:v>7835</c:v>
                </c:pt>
                <c:pt idx="20">
                  <c:v>7835</c:v>
                </c:pt>
                <c:pt idx="21">
                  <c:v>9824.5</c:v>
                </c:pt>
                <c:pt idx="22">
                  <c:v>10714.5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-1.892474054970766E-2</c:v>
                </c:pt>
                <c:pt idx="1">
                  <c:v>-1.6939073273690045E-2</c:v>
                </c:pt>
                <c:pt idx="2">
                  <c:v>-1.6938764412704508E-2</c:v>
                </c:pt>
                <c:pt idx="3">
                  <c:v>-1.590408011115543E-2</c:v>
                </c:pt>
                <c:pt idx="4">
                  <c:v>-1.5891416810748411E-2</c:v>
                </c:pt>
                <c:pt idx="5">
                  <c:v>-1.5868869958804207E-2</c:v>
                </c:pt>
                <c:pt idx="6">
                  <c:v>-1.5853426909527357E-2</c:v>
                </c:pt>
                <c:pt idx="7">
                  <c:v>-1.5694672362961321E-2</c:v>
                </c:pt>
                <c:pt idx="8">
                  <c:v>-1.568942172620719E-2</c:v>
                </c:pt>
                <c:pt idx="9">
                  <c:v>-1.5663786264407616E-2</c:v>
                </c:pt>
                <c:pt idx="10">
                  <c:v>-1.5653284990899356E-2</c:v>
                </c:pt>
                <c:pt idx="11">
                  <c:v>-1.5576069744515097E-2</c:v>
                </c:pt>
                <c:pt idx="12">
                  <c:v>-1.5575452022544022E-2</c:v>
                </c:pt>
                <c:pt idx="13">
                  <c:v>-1.5573289995645263E-2</c:v>
                </c:pt>
                <c:pt idx="14">
                  <c:v>-1.5570510246775429E-2</c:v>
                </c:pt>
                <c:pt idx="15">
                  <c:v>-1.5430287359341615E-2</c:v>
                </c:pt>
                <c:pt idx="16">
                  <c:v>-1.5177947934157856E-2</c:v>
                </c:pt>
                <c:pt idx="17">
                  <c:v>-1.415778009892902E-2</c:v>
                </c:pt>
                <c:pt idx="18">
                  <c:v>-1.4138012995854649E-2</c:v>
                </c:pt>
                <c:pt idx="19">
                  <c:v>-1.4084888906342279E-2</c:v>
                </c:pt>
                <c:pt idx="20">
                  <c:v>-1.4084888906342279E-2</c:v>
                </c:pt>
                <c:pt idx="21">
                  <c:v>-1.2855931044890405E-2</c:v>
                </c:pt>
                <c:pt idx="22">
                  <c:v>-1.2306158490634479E-2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1-4DDA-92F0-BBD570A88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542104"/>
        <c:axId val="1"/>
      </c:scatterChart>
      <c:valAx>
        <c:axId val="68654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54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67741935483871"/>
          <c:y val="0.92000129214617399"/>
          <c:w val="0.8500000000000000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9526</xdr:rowOff>
    </xdr:from>
    <xdr:to>
      <xdr:col>17</xdr:col>
      <xdr:colOff>257175</xdr:colOff>
      <xdr:row>18</xdr:row>
      <xdr:rowOff>142876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552718A-945A-DBCC-5667-57341A4CE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19050</xdr:rowOff>
    </xdr:from>
    <xdr:to>
      <xdr:col>27</xdr:col>
      <xdr:colOff>209550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7DC8201-CC48-08F2-2E65-6F96EE961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13" Type="http://schemas.openxmlformats.org/officeDocument/2006/relationships/hyperlink" Target="http://www.konkoly.hu/cgi-bin/IBVS?5974" TargetMode="External"/><Relationship Id="rId3" Type="http://schemas.openxmlformats.org/officeDocument/2006/relationships/hyperlink" Target="http://www.konkoly.hu/cgi-bin/IBVS?5645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konkoly.hu/cgi-bin/IBVS?5760" TargetMode="External"/><Relationship Id="rId2" Type="http://schemas.openxmlformats.org/officeDocument/2006/relationships/hyperlink" Target="http://www.konkoly.hu/cgi-bin/IBVS?5645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603" TargetMode="External"/><Relationship Id="rId11" Type="http://schemas.openxmlformats.org/officeDocument/2006/relationships/hyperlink" Target="http://www.konkoly.hu/cgi-bin/IBVS?6153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6153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6153" TargetMode="External"/><Relationship Id="rId14" Type="http://schemas.openxmlformats.org/officeDocument/2006/relationships/hyperlink" Target="http://www.konkoly.hu/cgi-bin/IBVS?5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26</v>
      </c>
      <c r="B1" s="1"/>
    </row>
    <row r="2" spans="1:7" x14ac:dyDescent="0.2">
      <c r="A2" t="s">
        <v>23</v>
      </c>
      <c r="B2" t="s">
        <v>27</v>
      </c>
    </row>
    <row r="4" spans="1:7" x14ac:dyDescent="0.2">
      <c r="A4" s="5" t="s">
        <v>0</v>
      </c>
      <c r="B4" s="5"/>
      <c r="C4" s="8" t="s">
        <v>28</v>
      </c>
      <c r="D4" s="9" t="s">
        <v>29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48500.125</v>
      </c>
    </row>
    <row r="8" spans="1:7" x14ac:dyDescent="0.2">
      <c r="A8" t="s">
        <v>3</v>
      </c>
      <c r="C8" s="11">
        <v>0.87738152199999997</v>
      </c>
      <c r="D8" s="40" t="s">
        <v>53</v>
      </c>
    </row>
    <row r="9" spans="1:7" x14ac:dyDescent="0.2">
      <c r="A9" s="15" t="s">
        <v>41</v>
      </c>
      <c r="B9" s="12"/>
      <c r="C9" s="16">
        <v>-9.5</v>
      </c>
      <c r="D9" s="12" t="s">
        <v>42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8">
        <f ca="1">INTERCEPT(INDIRECT($G$11):G990,INDIRECT($F$11):F990)</f>
        <v>-1.892474054970766E-2</v>
      </c>
      <c r="D11" s="3"/>
      <c r="E11" s="12"/>
      <c r="F11" s="29" t="str">
        <f>"F"&amp;E19</f>
        <v>F24</v>
      </c>
      <c r="G11" s="30" t="str">
        <f>"G"&amp;E19</f>
        <v>G24</v>
      </c>
    </row>
    <row r="12" spans="1:7" x14ac:dyDescent="0.2">
      <c r="A12" s="12" t="s">
        <v>16</v>
      </c>
      <c r="B12" s="12"/>
      <c r="C12" s="28">
        <f ca="1">SLOPE(INDIRECT($G$11):G990,INDIRECT($F$11):F990)</f>
        <v>6.1772197107407558E-7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9" t="s">
        <v>54</v>
      </c>
      <c r="E13" s="16">
        <v>1</v>
      </c>
    </row>
    <row r="14" spans="1:7" x14ac:dyDescent="0.2">
      <c r="A14" s="12"/>
      <c r="B14" s="12"/>
      <c r="C14" s="12"/>
      <c r="D14" s="19" t="s">
        <v>43</v>
      </c>
      <c r="E14" s="20">
        <f ca="1">NOW()+15018.5+$C$9/24</f>
        <v>60354.724503935184</v>
      </c>
    </row>
    <row r="15" spans="1:7" x14ac:dyDescent="0.2">
      <c r="A15" s="17" t="s">
        <v>17</v>
      </c>
      <c r="B15" s="12"/>
      <c r="C15" s="18">
        <f ca="1">(C7+C11)+(C8+C12)*INT(MAX(F21:F3531))</f>
        <v>57900.378320240648</v>
      </c>
      <c r="D15" s="19" t="s">
        <v>55</v>
      </c>
      <c r="E15" s="20">
        <f ca="1">ROUND(2*(E14-$C$7)/$C$8,0)/2+E13</f>
        <v>13512.5</v>
      </c>
    </row>
    <row r="16" spans="1:7" x14ac:dyDescent="0.2">
      <c r="A16" s="21" t="s">
        <v>4</v>
      </c>
      <c r="B16" s="12"/>
      <c r="C16" s="22">
        <f ca="1">+C8+C12</f>
        <v>0.87738213972197099</v>
      </c>
      <c r="D16" s="19" t="s">
        <v>44</v>
      </c>
      <c r="E16" s="30">
        <f ca="1">ROUND(2*(E14-$C$15)/$C$16,0)/2+E13</f>
        <v>2798.5</v>
      </c>
    </row>
    <row r="17" spans="1:21" ht="13.5" thickBot="1" x14ac:dyDescent="0.25">
      <c r="A17" s="19" t="s">
        <v>45</v>
      </c>
      <c r="B17" s="12"/>
      <c r="C17" s="12">
        <f>COUNT(C21:C2189)</f>
        <v>23</v>
      </c>
      <c r="D17" s="19" t="s">
        <v>46</v>
      </c>
      <c r="E17" s="23">
        <f ca="1">+$C$15+$C$16*E16-15018.5-$C$9/24</f>
        <v>45337.628071585917</v>
      </c>
    </row>
    <row r="18" spans="1:21" ht="14.25" thickTop="1" thickBot="1" x14ac:dyDescent="0.25">
      <c r="A18" s="21" t="s">
        <v>5</v>
      </c>
      <c r="B18" s="12"/>
      <c r="C18" s="24">
        <f ca="1">+C15</f>
        <v>57900.378320240648</v>
      </c>
      <c r="D18" s="25">
        <f ca="1">+C16</f>
        <v>0.87738213972197099</v>
      </c>
      <c r="E18" s="26" t="s">
        <v>47</v>
      </c>
    </row>
    <row r="19" spans="1:21" ht="13.5" thickTop="1" x14ac:dyDescent="0.2">
      <c r="A19" s="31" t="s">
        <v>49</v>
      </c>
      <c r="E19" s="32">
        <v>24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31</v>
      </c>
      <c r="J20" s="7" t="s">
        <v>63</v>
      </c>
      <c r="K20" s="7" t="s">
        <v>39</v>
      </c>
      <c r="L20" s="7" t="s">
        <v>25</v>
      </c>
      <c r="M20" s="7" t="s">
        <v>51</v>
      </c>
      <c r="N20" s="7" t="s">
        <v>24</v>
      </c>
      <c r="O20" s="7" t="s">
        <v>22</v>
      </c>
      <c r="P20" s="6" t="s">
        <v>21</v>
      </c>
      <c r="Q20" s="4" t="s">
        <v>14</v>
      </c>
    </row>
    <row r="21" spans="1:21" x14ac:dyDescent="0.2">
      <c r="A21" t="s">
        <v>30</v>
      </c>
      <c r="B21" s="3"/>
      <c r="C21" s="13">
        <v>48500.125</v>
      </c>
      <c r="D21" s="13" t="s">
        <v>13</v>
      </c>
      <c r="E21">
        <f t="shared" ref="E21:E42" si="0">+(C21-C$7)/C$8</f>
        <v>0</v>
      </c>
      <c r="F21">
        <f t="shared" ref="F21:F43" si="1">ROUND(2*E21,0)/2</f>
        <v>0</v>
      </c>
      <c r="G21">
        <f t="shared" ref="G21:G42" si="2">+C21-(C$7+F21*C$8)</f>
        <v>0</v>
      </c>
      <c r="H21">
        <f>+G21</f>
        <v>0</v>
      </c>
      <c r="O21">
        <f t="shared" ref="O21:O42" ca="1" si="3">+C$11+C$12*$F21</f>
        <v>-1.892474054970766E-2</v>
      </c>
      <c r="Q21" s="2">
        <f t="shared" ref="Q21:Q42" si="4">+C21-15018.5</f>
        <v>33481.625</v>
      </c>
    </row>
    <row r="22" spans="1:21" x14ac:dyDescent="0.2">
      <c r="A22" t="s">
        <v>31</v>
      </c>
      <c r="B22" s="3" t="s">
        <v>32</v>
      </c>
      <c r="C22" s="13">
        <v>51320.471299999997</v>
      </c>
      <c r="D22" s="13"/>
      <c r="E22">
        <f t="shared" si="0"/>
        <v>3214.5038723530329</v>
      </c>
      <c r="F22">
        <f t="shared" si="1"/>
        <v>3214.5</v>
      </c>
      <c r="G22">
        <f t="shared" si="2"/>
        <v>3.3975309997913428E-3</v>
      </c>
      <c r="I22">
        <f>+G22</f>
        <v>3.3975309997913428E-3</v>
      </c>
      <c r="O22">
        <f t="shared" ca="1" si="3"/>
        <v>-1.6939073273690045E-2</v>
      </c>
      <c r="Q22" s="2">
        <f t="shared" si="4"/>
        <v>36301.971299999997</v>
      </c>
    </row>
    <row r="23" spans="1:21" x14ac:dyDescent="0.2">
      <c r="A23" t="s">
        <v>31</v>
      </c>
      <c r="B23" s="3" t="s">
        <v>33</v>
      </c>
      <c r="C23" s="13">
        <v>51320.903200000001</v>
      </c>
      <c r="D23" s="13"/>
      <c r="E23">
        <f t="shared" si="0"/>
        <v>3214.9961325490517</v>
      </c>
      <c r="F23">
        <f t="shared" si="1"/>
        <v>3215</v>
      </c>
      <c r="G23">
        <f t="shared" si="2"/>
        <v>-3.3932299993466586E-3</v>
      </c>
      <c r="I23">
        <f>+G23</f>
        <v>-3.3932299993466586E-3</v>
      </c>
      <c r="O23">
        <f t="shared" ca="1" si="3"/>
        <v>-1.6938764412704508E-2</v>
      </c>
      <c r="Q23" s="2">
        <f t="shared" si="4"/>
        <v>36302.403200000001</v>
      </c>
    </row>
    <row r="24" spans="1:21" x14ac:dyDescent="0.2">
      <c r="A24" s="35" t="s">
        <v>50</v>
      </c>
      <c r="B24" s="33" t="s">
        <v>38</v>
      </c>
      <c r="C24" s="35">
        <v>52790.503299999997</v>
      </c>
      <c r="D24" s="35">
        <v>1E-4</v>
      </c>
      <c r="E24">
        <f t="shared" si="0"/>
        <v>4889.9802337072661</v>
      </c>
      <c r="F24">
        <f t="shared" si="1"/>
        <v>4890</v>
      </c>
      <c r="G24">
        <f t="shared" si="2"/>
        <v>-1.7342580002150498E-2</v>
      </c>
      <c r="L24">
        <f>+G24</f>
        <v>-1.7342580002150498E-2</v>
      </c>
      <c r="O24">
        <f t="shared" ca="1" si="3"/>
        <v>-1.590408011115543E-2</v>
      </c>
      <c r="Q24" s="2">
        <f t="shared" si="4"/>
        <v>37772.003299999997</v>
      </c>
    </row>
    <row r="25" spans="1:21" x14ac:dyDescent="0.2">
      <c r="A25" s="42" t="s">
        <v>52</v>
      </c>
      <c r="B25" s="43" t="s">
        <v>36</v>
      </c>
      <c r="C25" s="42">
        <v>52808.490030000001</v>
      </c>
      <c r="D25" s="42">
        <v>8.0000000000000004E-4</v>
      </c>
      <c r="E25">
        <f t="shared" si="0"/>
        <v>4910.4806996379857</v>
      </c>
      <c r="F25">
        <f t="shared" si="1"/>
        <v>4910.5</v>
      </c>
      <c r="G25">
        <f t="shared" si="2"/>
        <v>-1.6933781000261661E-2</v>
      </c>
      <c r="M25">
        <f>+G25</f>
        <v>-1.6933781000261661E-2</v>
      </c>
      <c r="O25">
        <f t="shared" ca="1" si="3"/>
        <v>-1.5891416810748411E-2</v>
      </c>
      <c r="Q25" s="2">
        <f t="shared" si="4"/>
        <v>37789.990030000001</v>
      </c>
    </row>
    <row r="26" spans="1:21" x14ac:dyDescent="0.2">
      <c r="A26" s="34" t="s">
        <v>40</v>
      </c>
      <c r="B26" s="33" t="s">
        <v>38</v>
      </c>
      <c r="C26" s="35">
        <v>52840.514999999999</v>
      </c>
      <c r="D26" s="35">
        <v>5.0000000000000001E-4</v>
      </c>
      <c r="E26">
        <f t="shared" si="0"/>
        <v>4946.981320174189</v>
      </c>
      <c r="F26">
        <f t="shared" si="1"/>
        <v>4947</v>
      </c>
      <c r="G26">
        <f t="shared" si="2"/>
        <v>-1.6389333999541122E-2</v>
      </c>
      <c r="L26">
        <f>+G26</f>
        <v>-1.6389333999541122E-2</v>
      </c>
      <c r="O26">
        <f t="shared" ca="1" si="3"/>
        <v>-1.5868869958804207E-2</v>
      </c>
      <c r="Q26" s="2">
        <f t="shared" si="4"/>
        <v>37822.014999999999</v>
      </c>
    </row>
    <row r="27" spans="1:21" x14ac:dyDescent="0.2">
      <c r="A27" s="34" t="s">
        <v>40</v>
      </c>
      <c r="B27" s="33" t="s">
        <v>38</v>
      </c>
      <c r="C27" s="35">
        <v>52862.445399999997</v>
      </c>
      <c r="D27" s="35">
        <v>1.2999999999999999E-3</v>
      </c>
      <c r="E27">
        <f t="shared" si="0"/>
        <v>4971.9766038108983</v>
      </c>
      <c r="F27">
        <f t="shared" si="1"/>
        <v>4972</v>
      </c>
      <c r="G27">
        <f t="shared" si="2"/>
        <v>-2.0527384003798943E-2</v>
      </c>
      <c r="L27">
        <f>+G27</f>
        <v>-2.0527384003798943E-2</v>
      </c>
      <c r="O27">
        <f t="shared" ca="1" si="3"/>
        <v>-1.5853426909527357E-2</v>
      </c>
      <c r="Q27" s="2">
        <f t="shared" si="4"/>
        <v>37843.945399999997</v>
      </c>
    </row>
    <row r="28" spans="1:21" x14ac:dyDescent="0.2">
      <c r="A28" s="27" t="s">
        <v>34</v>
      </c>
      <c r="B28" s="36"/>
      <c r="C28" s="37">
        <v>53087.938084177105</v>
      </c>
      <c r="D28" s="37">
        <v>1.4999999999999999E-4</v>
      </c>
      <c r="E28">
        <f t="shared" si="0"/>
        <v>5228.9830240773017</v>
      </c>
      <c r="F28">
        <f t="shared" si="1"/>
        <v>5229</v>
      </c>
      <c r="G28">
        <f t="shared" si="2"/>
        <v>-1.4894360894686542E-2</v>
      </c>
      <c r="J28">
        <f>+G28</f>
        <v>-1.4894360894686542E-2</v>
      </c>
      <c r="O28">
        <f t="shared" ca="1" si="3"/>
        <v>-1.5694672362961321E-2</v>
      </c>
      <c r="Q28" s="2">
        <f t="shared" si="4"/>
        <v>38069.438084177105</v>
      </c>
      <c r="U28" s="68" t="s">
        <v>138</v>
      </c>
    </row>
    <row r="29" spans="1:21" x14ac:dyDescent="0.2">
      <c r="A29" s="38" t="s">
        <v>35</v>
      </c>
      <c r="B29" s="33" t="s">
        <v>36</v>
      </c>
      <c r="C29" s="35">
        <v>53095.399799999999</v>
      </c>
      <c r="D29" s="35">
        <v>2.5000000000000001E-3</v>
      </c>
      <c r="E29">
        <f t="shared" si="0"/>
        <v>5237.4875521939693</v>
      </c>
      <c r="F29">
        <f t="shared" si="1"/>
        <v>5237.5</v>
      </c>
      <c r="G29">
        <f t="shared" si="2"/>
        <v>-1.0921474997303449E-2</v>
      </c>
      <c r="K29">
        <f>+G29</f>
        <v>-1.0921474997303449E-2</v>
      </c>
      <c r="O29">
        <f t="shared" ca="1" si="3"/>
        <v>-1.568942172620719E-2</v>
      </c>
      <c r="Q29" s="2">
        <f t="shared" si="4"/>
        <v>38076.899799999999</v>
      </c>
    </row>
    <row r="30" spans="1:21" x14ac:dyDescent="0.2">
      <c r="A30" s="38" t="s">
        <v>37</v>
      </c>
      <c r="B30" s="33" t="s">
        <v>38</v>
      </c>
      <c r="C30" s="35">
        <v>53131.802000000003</v>
      </c>
      <c r="D30" s="39">
        <v>4.0000000000000001E-3</v>
      </c>
      <c r="E30">
        <f t="shared" si="0"/>
        <v>5278.9771426255356</v>
      </c>
      <c r="F30">
        <f t="shared" si="1"/>
        <v>5279</v>
      </c>
      <c r="G30">
        <f t="shared" si="2"/>
        <v>-2.0054638000146952E-2</v>
      </c>
      <c r="L30">
        <f t="shared" ref="L30:L36" si="5">+G30</f>
        <v>-2.0054638000146952E-2</v>
      </c>
      <c r="O30">
        <f t="shared" ca="1" si="3"/>
        <v>-1.5663786264407616E-2</v>
      </c>
      <c r="Q30" s="2">
        <f t="shared" si="4"/>
        <v>38113.302000000003</v>
      </c>
    </row>
    <row r="31" spans="1:21" x14ac:dyDescent="0.2">
      <c r="A31" s="38" t="s">
        <v>37</v>
      </c>
      <c r="B31" s="33" t="s">
        <v>38</v>
      </c>
      <c r="C31" s="35">
        <v>53146.724000000002</v>
      </c>
      <c r="D31" s="39">
        <v>3.0000000000000001E-3</v>
      </c>
      <c r="E31">
        <f t="shared" si="0"/>
        <v>5295.9845671333869</v>
      </c>
      <c r="F31">
        <f t="shared" si="1"/>
        <v>5296</v>
      </c>
      <c r="G31">
        <f t="shared" si="2"/>
        <v>-1.3540511994506232E-2</v>
      </c>
      <c r="L31">
        <f t="shared" si="5"/>
        <v>-1.3540511994506232E-2</v>
      </c>
      <c r="O31">
        <f t="shared" ca="1" si="3"/>
        <v>-1.5653284990899356E-2</v>
      </c>
      <c r="Q31" s="2">
        <f t="shared" si="4"/>
        <v>38128.224000000002</v>
      </c>
    </row>
    <row r="32" spans="1:21" x14ac:dyDescent="0.2">
      <c r="A32" s="50" t="s">
        <v>59</v>
      </c>
      <c r="B32" s="51" t="s">
        <v>38</v>
      </c>
      <c r="C32" s="50">
        <v>53256.396500000003</v>
      </c>
      <c r="D32" s="50">
        <v>1.1999999999999999E-3</v>
      </c>
      <c r="E32">
        <f t="shared" si="0"/>
        <v>5420.9843502949934</v>
      </c>
      <c r="F32">
        <f t="shared" si="1"/>
        <v>5421</v>
      </c>
      <c r="G32">
        <f t="shared" si="2"/>
        <v>-1.3730761995248031E-2</v>
      </c>
      <c r="L32">
        <f t="shared" si="5"/>
        <v>-1.3730761995248031E-2</v>
      </c>
      <c r="O32">
        <f t="shared" ca="1" si="3"/>
        <v>-1.5576069744515097E-2</v>
      </c>
      <c r="Q32" s="2">
        <f t="shared" si="4"/>
        <v>38237.896500000003</v>
      </c>
    </row>
    <row r="33" spans="1:21" x14ac:dyDescent="0.2">
      <c r="A33" s="50" t="s">
        <v>59</v>
      </c>
      <c r="B33" s="51" t="s">
        <v>38</v>
      </c>
      <c r="C33" s="50">
        <v>53257.274100000002</v>
      </c>
      <c r="D33" s="50">
        <v>8.0000000000000004E-4</v>
      </c>
      <c r="E33">
        <f t="shared" si="0"/>
        <v>5421.9845993063918</v>
      </c>
      <c r="F33">
        <f t="shared" si="1"/>
        <v>5422</v>
      </c>
      <c r="G33">
        <f t="shared" si="2"/>
        <v>-1.3512284000171348E-2</v>
      </c>
      <c r="L33">
        <f t="shared" si="5"/>
        <v>-1.3512284000171348E-2</v>
      </c>
      <c r="O33">
        <f t="shared" ca="1" si="3"/>
        <v>-1.5575452022544022E-2</v>
      </c>
      <c r="Q33" s="2">
        <f t="shared" si="4"/>
        <v>38238.774100000002</v>
      </c>
    </row>
    <row r="34" spans="1:21" x14ac:dyDescent="0.2">
      <c r="A34" s="50" t="s">
        <v>59</v>
      </c>
      <c r="B34" s="51" t="s">
        <v>36</v>
      </c>
      <c r="C34" s="50">
        <v>53260.3439</v>
      </c>
      <c r="D34" s="50">
        <v>8.9999999999999998E-4</v>
      </c>
      <c r="E34">
        <f t="shared" si="0"/>
        <v>5425.4834192872368</v>
      </c>
      <c r="F34">
        <f t="shared" si="1"/>
        <v>5425.5</v>
      </c>
      <c r="G34">
        <f t="shared" si="2"/>
        <v>-1.4547610997396987E-2</v>
      </c>
      <c r="L34">
        <f t="shared" si="5"/>
        <v>-1.4547610997396987E-2</v>
      </c>
      <c r="O34">
        <f t="shared" ca="1" si="3"/>
        <v>-1.5573289995645263E-2</v>
      </c>
      <c r="Q34" s="2">
        <f t="shared" si="4"/>
        <v>38241.8439</v>
      </c>
    </row>
    <row r="35" spans="1:21" x14ac:dyDescent="0.2">
      <c r="A35" s="50" t="s">
        <v>59</v>
      </c>
      <c r="B35" s="51" t="s">
        <v>38</v>
      </c>
      <c r="C35" s="50">
        <v>53264.295700000002</v>
      </c>
      <c r="D35" s="50">
        <v>1.2999999999999999E-3</v>
      </c>
      <c r="E35">
        <f t="shared" si="0"/>
        <v>5429.9875032016034</v>
      </c>
      <c r="F35">
        <f t="shared" si="1"/>
        <v>5430</v>
      </c>
      <c r="G35">
        <f t="shared" si="2"/>
        <v>-1.096445999428397E-2</v>
      </c>
      <c r="L35">
        <f t="shared" si="5"/>
        <v>-1.096445999428397E-2</v>
      </c>
      <c r="O35">
        <f t="shared" ca="1" si="3"/>
        <v>-1.5570510246775429E-2</v>
      </c>
      <c r="Q35" s="2">
        <f t="shared" si="4"/>
        <v>38245.795700000002</v>
      </c>
    </row>
    <row r="36" spans="1:21" x14ac:dyDescent="0.2">
      <c r="A36" s="35" t="s">
        <v>50</v>
      </c>
      <c r="B36" s="33" t="s">
        <v>36</v>
      </c>
      <c r="C36" s="35">
        <v>53463.461000000003</v>
      </c>
      <c r="D36" s="35">
        <v>1E-4</v>
      </c>
      <c r="E36">
        <f t="shared" si="0"/>
        <v>5656.9871550132821</v>
      </c>
      <c r="F36">
        <f t="shared" si="1"/>
        <v>5657</v>
      </c>
      <c r="G36">
        <f t="shared" si="2"/>
        <v>-1.1269953996816184E-2</v>
      </c>
      <c r="L36">
        <f t="shared" si="5"/>
        <v>-1.1269953996816184E-2</v>
      </c>
      <c r="O36">
        <f t="shared" ca="1" si="3"/>
        <v>-1.5430287359341615E-2</v>
      </c>
      <c r="Q36" s="2">
        <f t="shared" si="4"/>
        <v>38444.961000000003</v>
      </c>
    </row>
    <row r="37" spans="1:21" x14ac:dyDescent="0.2">
      <c r="A37" s="27" t="s">
        <v>48</v>
      </c>
      <c r="B37" s="3"/>
      <c r="C37" s="13">
        <v>53821.869299999998</v>
      </c>
      <c r="D37" s="13">
        <v>2.9999999999999997E-4</v>
      </c>
      <c r="E37">
        <f t="shared" si="0"/>
        <v>6065.484816535718</v>
      </c>
      <c r="F37">
        <f t="shared" si="1"/>
        <v>6065.5</v>
      </c>
      <c r="G37">
        <f t="shared" si="2"/>
        <v>-1.332169100351166E-2</v>
      </c>
      <c r="J37">
        <f>+G37</f>
        <v>-1.332169100351166E-2</v>
      </c>
      <c r="O37">
        <f t="shared" ca="1" si="3"/>
        <v>-1.5177947934157856E-2</v>
      </c>
      <c r="Q37" s="2">
        <f t="shared" si="4"/>
        <v>38803.369299999998</v>
      </c>
      <c r="U37" s="68" t="s">
        <v>139</v>
      </c>
    </row>
    <row r="38" spans="1:21" x14ac:dyDescent="0.2">
      <c r="A38" s="44" t="s">
        <v>57</v>
      </c>
      <c r="B38" s="45" t="s">
        <v>38</v>
      </c>
      <c r="C38" s="46">
        <v>55270.851000000002</v>
      </c>
      <c r="D38" s="46">
        <v>2.0000000000000001E-4</v>
      </c>
      <c r="E38">
        <f t="shared" si="0"/>
        <v>7716.9689926522096</v>
      </c>
      <c r="F38">
        <f t="shared" si="1"/>
        <v>7717</v>
      </c>
      <c r="G38">
        <f t="shared" si="2"/>
        <v>-2.7205273996514734E-2</v>
      </c>
      <c r="L38">
        <f>+G38</f>
        <v>-2.7205273996514734E-2</v>
      </c>
      <c r="O38">
        <f t="shared" ca="1" si="3"/>
        <v>-1.415778009892902E-2</v>
      </c>
      <c r="Q38" s="2">
        <f t="shared" si="4"/>
        <v>40252.351000000002</v>
      </c>
    </row>
    <row r="39" spans="1:21" x14ac:dyDescent="0.2">
      <c r="A39" s="41" t="s">
        <v>56</v>
      </c>
      <c r="C39" s="14">
        <v>55298.937599999997</v>
      </c>
      <c r="D39" s="14">
        <v>2.9999999999999997E-4</v>
      </c>
      <c r="E39">
        <f t="shared" si="0"/>
        <v>7748.9808361840533</v>
      </c>
      <c r="F39">
        <f t="shared" si="1"/>
        <v>7749</v>
      </c>
      <c r="G39">
        <f t="shared" si="2"/>
        <v>-1.681397799984552E-2</v>
      </c>
      <c r="J39">
        <f>+G39</f>
        <v>-1.681397799984552E-2</v>
      </c>
      <c r="O39">
        <f t="shared" ca="1" si="3"/>
        <v>-1.4138012995854649E-2</v>
      </c>
      <c r="Q39" s="2">
        <f t="shared" si="4"/>
        <v>40280.437599999997</v>
      </c>
      <c r="U39" s="68" t="s">
        <v>139</v>
      </c>
    </row>
    <row r="40" spans="1:21" x14ac:dyDescent="0.2">
      <c r="A40" s="65" t="s">
        <v>136</v>
      </c>
      <c r="B40" s="66" t="s">
        <v>38</v>
      </c>
      <c r="C40" s="67">
        <v>55374.393100000001</v>
      </c>
      <c r="D40" s="67" t="s">
        <v>71</v>
      </c>
      <c r="E40">
        <f t="shared" si="0"/>
        <v>7834.9816215983647</v>
      </c>
      <c r="F40">
        <f t="shared" si="1"/>
        <v>7835</v>
      </c>
      <c r="G40">
        <f t="shared" si="2"/>
        <v>-1.612487000238616E-2</v>
      </c>
      <c r="N40">
        <f>+G40</f>
        <v>-1.612487000238616E-2</v>
      </c>
      <c r="O40">
        <f t="shared" ca="1" si="3"/>
        <v>-1.4084888906342279E-2</v>
      </c>
      <c r="Q40" s="2">
        <f t="shared" si="4"/>
        <v>40355.893100000001</v>
      </c>
    </row>
    <row r="41" spans="1:21" x14ac:dyDescent="0.2">
      <c r="A41" s="47" t="s">
        <v>58</v>
      </c>
      <c r="B41" s="48" t="s">
        <v>38</v>
      </c>
      <c r="C41" s="49">
        <v>55374.393150000004</v>
      </c>
      <c r="D41" s="49">
        <v>4.0000000000000002E-4</v>
      </c>
      <c r="E41">
        <f t="shared" si="0"/>
        <v>7834.9816785861185</v>
      </c>
      <c r="F41">
        <f t="shared" si="1"/>
        <v>7835</v>
      </c>
      <c r="G41">
        <f t="shared" si="2"/>
        <v>-1.6074870000011288E-2</v>
      </c>
      <c r="M41">
        <f>+G41</f>
        <v>-1.6074870000011288E-2</v>
      </c>
      <c r="O41">
        <f t="shared" ca="1" si="3"/>
        <v>-1.4084888906342279E-2</v>
      </c>
      <c r="Q41" s="2">
        <f t="shared" si="4"/>
        <v>40355.893150000004</v>
      </c>
    </row>
    <row r="42" spans="1:21" x14ac:dyDescent="0.2">
      <c r="A42" s="5" t="s">
        <v>60</v>
      </c>
      <c r="C42" s="14">
        <v>57119.9522</v>
      </c>
      <c r="D42" s="14">
        <v>2.0000000000000001E-4</v>
      </c>
      <c r="E42">
        <f t="shared" si="0"/>
        <v>9824.4913801592465</v>
      </c>
      <c r="F42">
        <f t="shared" si="1"/>
        <v>9824.5</v>
      </c>
      <c r="G42">
        <f t="shared" si="2"/>
        <v>-7.5628890044754371E-3</v>
      </c>
      <c r="J42">
        <f>+G42</f>
        <v>-7.5628890044754371E-3</v>
      </c>
      <c r="O42">
        <f t="shared" ca="1" si="3"/>
        <v>-1.2855931044890405E-2</v>
      </c>
      <c r="Q42" s="2">
        <f t="shared" si="4"/>
        <v>42101.4522</v>
      </c>
      <c r="U42" s="68" t="s">
        <v>139</v>
      </c>
    </row>
    <row r="43" spans="1:21" x14ac:dyDescent="0.2">
      <c r="A43" s="5" t="s">
        <v>137</v>
      </c>
      <c r="C43" s="14">
        <v>57900.820299999999</v>
      </c>
      <c r="D43" s="14">
        <v>4.0000000000000002E-4</v>
      </c>
      <c r="E43">
        <f>+(C43-C$7)/C$8</f>
        <v>10714.48972229438</v>
      </c>
      <c r="F43">
        <f t="shared" si="1"/>
        <v>10714.5</v>
      </c>
      <c r="G43">
        <f>+C43-(C$7+F43*C$8)</f>
        <v>-9.0174689976265654E-3</v>
      </c>
      <c r="J43">
        <f>+G43</f>
        <v>-9.0174689976265654E-3</v>
      </c>
      <c r="O43">
        <f ca="1">+C$11+C$12*$F43</f>
        <v>-1.2306158490634479E-2</v>
      </c>
      <c r="Q43" s="2">
        <f>+C43-15018.5</f>
        <v>42882.320299999999</v>
      </c>
      <c r="U43" s="68" t="s">
        <v>139</v>
      </c>
    </row>
    <row r="44" spans="1:21" x14ac:dyDescent="0.2">
      <c r="D44" s="3"/>
    </row>
    <row r="45" spans="1:21" x14ac:dyDescent="0.2">
      <c r="D45" s="3"/>
    </row>
    <row r="46" spans="1:21" x14ac:dyDescent="0.2">
      <c r="D46" s="3"/>
    </row>
    <row r="47" spans="1:21" x14ac:dyDescent="0.2">
      <c r="D47" s="3"/>
    </row>
    <row r="48" spans="1:21" x14ac:dyDescent="0.2">
      <c r="D48" s="3"/>
    </row>
    <row r="49" spans="4:4" x14ac:dyDescent="0.2">
      <c r="D49" s="3"/>
    </row>
    <row r="50" spans="4:4" x14ac:dyDescent="0.2">
      <c r="D5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5" workbookViewId="0">
      <selection activeCell="A24" sqref="A24:D25"/>
    </sheetView>
  </sheetViews>
  <sheetFormatPr defaultRowHeight="12.75" x14ac:dyDescent="0.2"/>
  <cols>
    <col min="1" max="1" width="19.7109375" style="14" customWidth="1"/>
    <col min="2" max="2" width="4.42578125" style="12" customWidth="1"/>
    <col min="3" max="3" width="12.7109375" style="1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2" t="s">
        <v>61</v>
      </c>
      <c r="I1" s="53" t="s">
        <v>62</v>
      </c>
      <c r="J1" s="54" t="s">
        <v>63</v>
      </c>
    </row>
    <row r="2" spans="1:16" x14ac:dyDescent="0.2">
      <c r="I2" s="55" t="s">
        <v>64</v>
      </c>
      <c r="J2" s="56" t="s">
        <v>65</v>
      </c>
    </row>
    <row r="3" spans="1:16" x14ac:dyDescent="0.2">
      <c r="A3" s="57" t="s">
        <v>66</v>
      </c>
      <c r="I3" s="55" t="s">
        <v>67</v>
      </c>
      <c r="J3" s="56" t="s">
        <v>68</v>
      </c>
    </row>
    <row r="4" spans="1:16" x14ac:dyDescent="0.2">
      <c r="I4" s="55" t="s">
        <v>69</v>
      </c>
      <c r="J4" s="56" t="s">
        <v>68</v>
      </c>
    </row>
    <row r="5" spans="1:16" ht="13.5" thickBot="1" x14ac:dyDescent="0.25">
      <c r="I5" s="58" t="s">
        <v>70</v>
      </c>
      <c r="J5" s="59" t="s">
        <v>71</v>
      </c>
    </row>
    <row r="10" spans="1:16" ht="13.5" thickBot="1" x14ac:dyDescent="0.25"/>
    <row r="11" spans="1:16" ht="12.75" customHeight="1" thickBot="1" x14ac:dyDescent="0.25">
      <c r="A11" s="14" t="str">
        <f t="shared" ref="A11:A25" si="0">P11</f>
        <v>OEJV 0074 </v>
      </c>
      <c r="B11" s="3" t="str">
        <f t="shared" ref="B11:B25" si="1">IF(H11=INT(H11),"I","II")</f>
        <v>II</v>
      </c>
      <c r="C11" s="14">
        <f t="shared" ref="C11:C25" si="2">1*G11</f>
        <v>52808.490030000001</v>
      </c>
      <c r="D11" s="12" t="str">
        <f t="shared" ref="D11:D25" si="3">VLOOKUP(F11,I$1:J$5,2,FALSE)</f>
        <v>vis</v>
      </c>
      <c r="E11" s="60">
        <f>VLOOKUP(C11,Active!C$21:E$972,3,FALSE)</f>
        <v>4910.4806996379857</v>
      </c>
      <c r="F11" s="3" t="s">
        <v>70</v>
      </c>
      <c r="G11" s="12" t="str">
        <f t="shared" ref="G11:G25" si="4">MID(I11,3,LEN(I11)-3)</f>
        <v>52808.49003</v>
      </c>
      <c r="H11" s="14">
        <f t="shared" ref="H11:H25" si="5">1*K11</f>
        <v>351.5</v>
      </c>
      <c r="I11" s="61" t="s">
        <v>72</v>
      </c>
      <c r="J11" s="62" t="s">
        <v>73</v>
      </c>
      <c r="K11" s="61">
        <v>351.5</v>
      </c>
      <c r="L11" s="61" t="s">
        <v>74</v>
      </c>
      <c r="M11" s="62" t="s">
        <v>75</v>
      </c>
      <c r="N11" s="62" t="s">
        <v>76</v>
      </c>
      <c r="O11" s="63" t="s">
        <v>77</v>
      </c>
      <c r="P11" s="64" t="s">
        <v>78</v>
      </c>
    </row>
    <row r="12" spans="1:16" ht="12.75" customHeight="1" thickBot="1" x14ac:dyDescent="0.25">
      <c r="A12" s="14" t="str">
        <f t="shared" si="0"/>
        <v>IBVS 5645 </v>
      </c>
      <c r="B12" s="3" t="str">
        <f t="shared" si="1"/>
        <v>I</v>
      </c>
      <c r="C12" s="14">
        <f t="shared" si="2"/>
        <v>52840.514999999999</v>
      </c>
      <c r="D12" s="12" t="str">
        <f t="shared" si="3"/>
        <v>vis</v>
      </c>
      <c r="E12" s="60">
        <f>VLOOKUP(C12,Active!C$21:E$972,3,FALSE)</f>
        <v>4946.981320174189</v>
      </c>
      <c r="F12" s="3" t="s">
        <v>70</v>
      </c>
      <c r="G12" s="12" t="str">
        <f t="shared" si="4"/>
        <v>52840.5150</v>
      </c>
      <c r="H12" s="14">
        <f t="shared" si="5"/>
        <v>388</v>
      </c>
      <c r="I12" s="61" t="s">
        <v>79</v>
      </c>
      <c r="J12" s="62" t="s">
        <v>80</v>
      </c>
      <c r="K12" s="61">
        <v>388</v>
      </c>
      <c r="L12" s="61" t="s">
        <v>81</v>
      </c>
      <c r="M12" s="62" t="s">
        <v>82</v>
      </c>
      <c r="N12" s="62" t="s">
        <v>83</v>
      </c>
      <c r="O12" s="63" t="s">
        <v>77</v>
      </c>
      <c r="P12" s="64" t="s">
        <v>84</v>
      </c>
    </row>
    <row r="13" spans="1:16" ht="12.75" customHeight="1" thickBot="1" x14ac:dyDescent="0.25">
      <c r="A13" s="14" t="str">
        <f t="shared" si="0"/>
        <v>IBVS 5645 </v>
      </c>
      <c r="B13" s="3" t="str">
        <f t="shared" si="1"/>
        <v>I</v>
      </c>
      <c r="C13" s="14">
        <f t="shared" si="2"/>
        <v>52862.445399999997</v>
      </c>
      <c r="D13" s="12" t="str">
        <f t="shared" si="3"/>
        <v>vis</v>
      </c>
      <c r="E13" s="60">
        <f>VLOOKUP(C13,Active!C$21:E$972,3,FALSE)</f>
        <v>4971.9766038108983</v>
      </c>
      <c r="F13" s="3" t="s">
        <v>70</v>
      </c>
      <c r="G13" s="12" t="str">
        <f t="shared" si="4"/>
        <v>52862.4454</v>
      </c>
      <c r="H13" s="14">
        <f t="shared" si="5"/>
        <v>413</v>
      </c>
      <c r="I13" s="61" t="s">
        <v>85</v>
      </c>
      <c r="J13" s="62" t="s">
        <v>86</v>
      </c>
      <c r="K13" s="61">
        <v>413</v>
      </c>
      <c r="L13" s="61" t="s">
        <v>87</v>
      </c>
      <c r="M13" s="62" t="s">
        <v>82</v>
      </c>
      <c r="N13" s="62" t="s">
        <v>83</v>
      </c>
      <c r="O13" s="63" t="s">
        <v>77</v>
      </c>
      <c r="P13" s="64" t="s">
        <v>84</v>
      </c>
    </row>
    <row r="14" spans="1:16" ht="12.75" customHeight="1" thickBot="1" x14ac:dyDescent="0.25">
      <c r="A14" s="14" t="str">
        <f t="shared" si="0"/>
        <v>IBVS 5592 </v>
      </c>
      <c r="B14" s="3" t="str">
        <f t="shared" si="1"/>
        <v>II</v>
      </c>
      <c r="C14" s="14">
        <f t="shared" si="2"/>
        <v>53095.399799999999</v>
      </c>
      <c r="D14" s="12" t="str">
        <f t="shared" si="3"/>
        <v>vis</v>
      </c>
      <c r="E14" s="60">
        <f>VLOOKUP(C14,Active!C$21:E$972,3,FALSE)</f>
        <v>5237.4875521939693</v>
      </c>
      <c r="F14" s="3" t="s">
        <v>70</v>
      </c>
      <c r="G14" s="12" t="str">
        <f t="shared" si="4"/>
        <v>53095.3998</v>
      </c>
      <c r="H14" s="14">
        <f t="shared" si="5"/>
        <v>678.5</v>
      </c>
      <c r="I14" s="61" t="s">
        <v>93</v>
      </c>
      <c r="J14" s="62" t="s">
        <v>94</v>
      </c>
      <c r="K14" s="61">
        <v>678.5</v>
      </c>
      <c r="L14" s="61" t="s">
        <v>95</v>
      </c>
      <c r="M14" s="62" t="s">
        <v>82</v>
      </c>
      <c r="N14" s="62" t="s">
        <v>83</v>
      </c>
      <c r="O14" s="63" t="s">
        <v>96</v>
      </c>
      <c r="P14" s="64" t="s">
        <v>97</v>
      </c>
    </row>
    <row r="15" spans="1:16" ht="12.75" customHeight="1" thickBot="1" x14ac:dyDescent="0.25">
      <c r="A15" s="14" t="str">
        <f t="shared" si="0"/>
        <v>IBVS 5603 </v>
      </c>
      <c r="B15" s="3" t="str">
        <f t="shared" si="1"/>
        <v>I</v>
      </c>
      <c r="C15" s="14">
        <f t="shared" si="2"/>
        <v>53131.802000000003</v>
      </c>
      <c r="D15" s="12" t="str">
        <f t="shared" si="3"/>
        <v>vis</v>
      </c>
      <c r="E15" s="60">
        <f>VLOOKUP(C15,Active!C$21:E$972,3,FALSE)</f>
        <v>5278.9771426255356</v>
      </c>
      <c r="F15" s="3" t="s">
        <v>70</v>
      </c>
      <c r="G15" s="12" t="str">
        <f t="shared" si="4"/>
        <v>53131.802</v>
      </c>
      <c r="H15" s="14">
        <f t="shared" si="5"/>
        <v>720</v>
      </c>
      <c r="I15" s="61" t="s">
        <v>98</v>
      </c>
      <c r="J15" s="62" t="s">
        <v>99</v>
      </c>
      <c r="K15" s="61">
        <v>720</v>
      </c>
      <c r="L15" s="61" t="s">
        <v>100</v>
      </c>
      <c r="M15" s="62" t="s">
        <v>82</v>
      </c>
      <c r="N15" s="62" t="s">
        <v>83</v>
      </c>
      <c r="O15" s="63" t="s">
        <v>101</v>
      </c>
      <c r="P15" s="64" t="s">
        <v>102</v>
      </c>
    </row>
    <row r="16" spans="1:16" ht="12.75" customHeight="1" thickBot="1" x14ac:dyDescent="0.25">
      <c r="A16" s="14" t="str">
        <f t="shared" si="0"/>
        <v>IBVS 5603 </v>
      </c>
      <c r="B16" s="3" t="str">
        <f t="shared" si="1"/>
        <v>I</v>
      </c>
      <c r="C16" s="14">
        <f t="shared" si="2"/>
        <v>53146.724000000002</v>
      </c>
      <c r="D16" s="12" t="str">
        <f t="shared" si="3"/>
        <v>vis</v>
      </c>
      <c r="E16" s="60">
        <f>VLOOKUP(C16,Active!C$21:E$972,3,FALSE)</f>
        <v>5295.9845671333869</v>
      </c>
      <c r="F16" s="3" t="s">
        <v>70</v>
      </c>
      <c r="G16" s="12" t="str">
        <f t="shared" si="4"/>
        <v>53146.724</v>
      </c>
      <c r="H16" s="14">
        <f t="shared" si="5"/>
        <v>737</v>
      </c>
      <c r="I16" s="61" t="s">
        <v>103</v>
      </c>
      <c r="J16" s="62" t="s">
        <v>104</v>
      </c>
      <c r="K16" s="61">
        <v>737</v>
      </c>
      <c r="L16" s="61" t="s">
        <v>105</v>
      </c>
      <c r="M16" s="62" t="s">
        <v>82</v>
      </c>
      <c r="N16" s="62" t="s">
        <v>83</v>
      </c>
      <c r="O16" s="63" t="s">
        <v>101</v>
      </c>
      <c r="P16" s="64" t="s">
        <v>102</v>
      </c>
    </row>
    <row r="17" spans="1:16" ht="12.75" customHeight="1" thickBot="1" x14ac:dyDescent="0.25">
      <c r="A17" s="14" t="str">
        <f t="shared" si="0"/>
        <v>IBVS 6153 </v>
      </c>
      <c r="B17" s="3" t="str">
        <f t="shared" si="1"/>
        <v>I</v>
      </c>
      <c r="C17" s="14">
        <f t="shared" si="2"/>
        <v>53256.396500000003</v>
      </c>
      <c r="D17" s="12" t="str">
        <f t="shared" si="3"/>
        <v>vis</v>
      </c>
      <c r="E17" s="60">
        <f>VLOOKUP(C17,Active!C$21:E$972,3,FALSE)</f>
        <v>5420.9843502949934</v>
      </c>
      <c r="F17" s="3" t="s">
        <v>70</v>
      </c>
      <c r="G17" s="12" t="str">
        <f t="shared" si="4"/>
        <v>53256.3965</v>
      </c>
      <c r="H17" s="14">
        <f t="shared" si="5"/>
        <v>862</v>
      </c>
      <c r="I17" s="61" t="s">
        <v>106</v>
      </c>
      <c r="J17" s="62" t="s">
        <v>107</v>
      </c>
      <c r="K17" s="61">
        <v>862</v>
      </c>
      <c r="L17" s="61" t="s">
        <v>108</v>
      </c>
      <c r="M17" s="62" t="s">
        <v>75</v>
      </c>
      <c r="N17" s="62" t="s">
        <v>109</v>
      </c>
      <c r="O17" s="63" t="s">
        <v>110</v>
      </c>
      <c r="P17" s="64" t="s">
        <v>111</v>
      </c>
    </row>
    <row r="18" spans="1:16" ht="12.75" customHeight="1" thickBot="1" x14ac:dyDescent="0.25">
      <c r="A18" s="14" t="str">
        <f t="shared" si="0"/>
        <v>IBVS 6153 </v>
      </c>
      <c r="B18" s="3" t="str">
        <f t="shared" si="1"/>
        <v>I</v>
      </c>
      <c r="C18" s="14">
        <f t="shared" si="2"/>
        <v>53257.274100000002</v>
      </c>
      <c r="D18" s="12" t="str">
        <f t="shared" si="3"/>
        <v>vis</v>
      </c>
      <c r="E18" s="60">
        <f>VLOOKUP(C18,Active!C$21:E$972,3,FALSE)</f>
        <v>5421.9845993063918</v>
      </c>
      <c r="F18" s="3" t="s">
        <v>70</v>
      </c>
      <c r="G18" s="12" t="str">
        <f t="shared" si="4"/>
        <v>53257.2741</v>
      </c>
      <c r="H18" s="14">
        <f t="shared" si="5"/>
        <v>863</v>
      </c>
      <c r="I18" s="61" t="s">
        <v>112</v>
      </c>
      <c r="J18" s="62" t="s">
        <v>113</v>
      </c>
      <c r="K18" s="61">
        <v>863</v>
      </c>
      <c r="L18" s="61" t="s">
        <v>114</v>
      </c>
      <c r="M18" s="62" t="s">
        <v>75</v>
      </c>
      <c r="N18" s="62" t="s">
        <v>109</v>
      </c>
      <c r="O18" s="63" t="s">
        <v>110</v>
      </c>
      <c r="P18" s="64" t="s">
        <v>111</v>
      </c>
    </row>
    <row r="19" spans="1:16" ht="12.75" customHeight="1" thickBot="1" x14ac:dyDescent="0.25">
      <c r="A19" s="14" t="str">
        <f t="shared" si="0"/>
        <v>IBVS 6153 </v>
      </c>
      <c r="B19" s="3" t="str">
        <f t="shared" si="1"/>
        <v>II</v>
      </c>
      <c r="C19" s="14">
        <f t="shared" si="2"/>
        <v>53260.3439</v>
      </c>
      <c r="D19" s="12" t="str">
        <f t="shared" si="3"/>
        <v>vis</v>
      </c>
      <c r="E19" s="60">
        <f>VLOOKUP(C19,Active!C$21:E$972,3,FALSE)</f>
        <v>5425.4834192872368</v>
      </c>
      <c r="F19" s="3" t="s">
        <v>70</v>
      </c>
      <c r="G19" s="12" t="str">
        <f t="shared" si="4"/>
        <v>53260.3439</v>
      </c>
      <c r="H19" s="14">
        <f t="shared" si="5"/>
        <v>866.5</v>
      </c>
      <c r="I19" s="61" t="s">
        <v>115</v>
      </c>
      <c r="J19" s="62" t="s">
        <v>116</v>
      </c>
      <c r="K19" s="61">
        <v>866.5</v>
      </c>
      <c r="L19" s="61" t="s">
        <v>117</v>
      </c>
      <c r="M19" s="62" t="s">
        <v>75</v>
      </c>
      <c r="N19" s="62" t="s">
        <v>109</v>
      </c>
      <c r="O19" s="63" t="s">
        <v>110</v>
      </c>
      <c r="P19" s="64" t="s">
        <v>111</v>
      </c>
    </row>
    <row r="20" spans="1:16" ht="12.75" customHeight="1" thickBot="1" x14ac:dyDescent="0.25">
      <c r="A20" s="14" t="str">
        <f t="shared" si="0"/>
        <v>IBVS 6153 </v>
      </c>
      <c r="B20" s="3" t="str">
        <f t="shared" si="1"/>
        <v>I</v>
      </c>
      <c r="C20" s="14">
        <f t="shared" si="2"/>
        <v>53264.295700000002</v>
      </c>
      <c r="D20" s="12" t="str">
        <f t="shared" si="3"/>
        <v>vis</v>
      </c>
      <c r="E20" s="60">
        <f>VLOOKUP(C20,Active!C$21:E$972,3,FALSE)</f>
        <v>5429.9875032016034</v>
      </c>
      <c r="F20" s="3" t="s">
        <v>70</v>
      </c>
      <c r="G20" s="12" t="str">
        <f t="shared" si="4"/>
        <v>53264.2957</v>
      </c>
      <c r="H20" s="14">
        <f t="shared" si="5"/>
        <v>871</v>
      </c>
      <c r="I20" s="61" t="s">
        <v>118</v>
      </c>
      <c r="J20" s="62" t="s">
        <v>119</v>
      </c>
      <c r="K20" s="61">
        <v>871</v>
      </c>
      <c r="L20" s="61" t="s">
        <v>95</v>
      </c>
      <c r="M20" s="62" t="s">
        <v>75</v>
      </c>
      <c r="N20" s="62" t="s">
        <v>109</v>
      </c>
      <c r="O20" s="63" t="s">
        <v>110</v>
      </c>
      <c r="P20" s="64" t="s">
        <v>111</v>
      </c>
    </row>
    <row r="21" spans="1:16" ht="12.75" customHeight="1" thickBot="1" x14ac:dyDescent="0.25">
      <c r="A21" s="14" t="str">
        <f t="shared" si="0"/>
        <v>IBVS 5760 </v>
      </c>
      <c r="B21" s="3" t="str">
        <f t="shared" si="1"/>
        <v>II</v>
      </c>
      <c r="C21" s="14">
        <f t="shared" si="2"/>
        <v>53821.869299999998</v>
      </c>
      <c r="D21" s="12" t="str">
        <f t="shared" si="3"/>
        <v>vis</v>
      </c>
      <c r="E21" s="60">
        <f>VLOOKUP(C21,Active!C$21:E$972,3,FALSE)</f>
        <v>6065.484816535718</v>
      </c>
      <c r="F21" s="3" t="s">
        <v>70</v>
      </c>
      <c r="G21" s="12" t="str">
        <f t="shared" si="4"/>
        <v>53821.8693</v>
      </c>
      <c r="H21" s="14">
        <f t="shared" si="5"/>
        <v>1506.5</v>
      </c>
      <c r="I21" s="61" t="s">
        <v>120</v>
      </c>
      <c r="J21" s="62" t="s">
        <v>121</v>
      </c>
      <c r="K21" s="61">
        <v>1506.5</v>
      </c>
      <c r="L21" s="61" t="s">
        <v>122</v>
      </c>
      <c r="M21" s="62" t="s">
        <v>75</v>
      </c>
      <c r="N21" s="62" t="s">
        <v>76</v>
      </c>
      <c r="O21" s="63" t="s">
        <v>91</v>
      </c>
      <c r="P21" s="64" t="s">
        <v>123</v>
      </c>
    </row>
    <row r="22" spans="1:16" ht="12.75" customHeight="1" thickBot="1" x14ac:dyDescent="0.25">
      <c r="A22" s="14" t="str">
        <f t="shared" si="0"/>
        <v>IBVS 5974 </v>
      </c>
      <c r="B22" s="3" t="str">
        <f t="shared" si="1"/>
        <v>I</v>
      </c>
      <c r="C22" s="14">
        <f t="shared" si="2"/>
        <v>55270.851000000002</v>
      </c>
      <c r="D22" s="12" t="str">
        <f t="shared" si="3"/>
        <v>vis</v>
      </c>
      <c r="E22" s="60">
        <f>VLOOKUP(C22,Active!C$21:E$972,3,FALSE)</f>
        <v>7716.9689926522096</v>
      </c>
      <c r="F22" s="3" t="s">
        <v>70</v>
      </c>
      <c r="G22" s="12" t="str">
        <f t="shared" si="4"/>
        <v>55270.851</v>
      </c>
      <c r="H22" s="14">
        <f t="shared" si="5"/>
        <v>3158</v>
      </c>
      <c r="I22" s="61" t="s">
        <v>124</v>
      </c>
      <c r="J22" s="62" t="s">
        <v>125</v>
      </c>
      <c r="K22" s="61">
        <v>3158</v>
      </c>
      <c r="L22" s="61" t="s">
        <v>126</v>
      </c>
      <c r="M22" s="62" t="s">
        <v>75</v>
      </c>
      <c r="N22" s="62" t="s">
        <v>70</v>
      </c>
      <c r="O22" s="63" t="s">
        <v>101</v>
      </c>
      <c r="P22" s="64" t="s">
        <v>127</v>
      </c>
    </row>
    <row r="23" spans="1:16" ht="12.75" customHeight="1" thickBot="1" x14ac:dyDescent="0.25">
      <c r="A23" s="14" t="str">
        <f t="shared" si="0"/>
        <v>IBVS 5966 </v>
      </c>
      <c r="B23" s="3" t="str">
        <f t="shared" si="1"/>
        <v>I</v>
      </c>
      <c r="C23" s="14">
        <f t="shared" si="2"/>
        <v>55298.937599999997</v>
      </c>
      <c r="D23" s="12" t="str">
        <f t="shared" si="3"/>
        <v>vis</v>
      </c>
      <c r="E23" s="60">
        <f>VLOOKUP(C23,Active!C$21:E$972,3,FALSE)</f>
        <v>7748.9808361840533</v>
      </c>
      <c r="F23" s="3" t="s">
        <v>70</v>
      </c>
      <c r="G23" s="12" t="str">
        <f t="shared" si="4"/>
        <v>55298.9376</v>
      </c>
      <c r="H23" s="14">
        <f t="shared" si="5"/>
        <v>3190</v>
      </c>
      <c r="I23" s="61" t="s">
        <v>128</v>
      </c>
      <c r="J23" s="62" t="s">
        <v>129</v>
      </c>
      <c r="K23" s="61">
        <v>3190</v>
      </c>
      <c r="L23" s="61" t="s">
        <v>130</v>
      </c>
      <c r="M23" s="62" t="s">
        <v>75</v>
      </c>
      <c r="N23" s="62" t="s">
        <v>76</v>
      </c>
      <c r="O23" s="63" t="s">
        <v>91</v>
      </c>
      <c r="P23" s="64" t="s">
        <v>131</v>
      </c>
    </row>
    <row r="24" spans="1:16" ht="12.75" customHeight="1" thickBot="1" x14ac:dyDescent="0.25">
      <c r="A24" s="14" t="str">
        <f t="shared" si="0"/>
        <v>IBVS 5602 </v>
      </c>
      <c r="B24" s="3" t="str">
        <f t="shared" si="1"/>
        <v>I</v>
      </c>
      <c r="C24" s="14">
        <f t="shared" si="2"/>
        <v>53087.938099999999</v>
      </c>
      <c r="D24" s="12" t="str">
        <f t="shared" si="3"/>
        <v>vis</v>
      </c>
      <c r="E24" s="60" t="e">
        <f>VLOOKUP(C24,Active!C$21:E$972,3,FALSE)</f>
        <v>#N/A</v>
      </c>
      <c r="F24" s="3" t="s">
        <v>70</v>
      </c>
      <c r="G24" s="12" t="str">
        <f t="shared" si="4"/>
        <v>53087.9381</v>
      </c>
      <c r="H24" s="14">
        <f t="shared" si="5"/>
        <v>670</v>
      </c>
      <c r="I24" s="61" t="s">
        <v>88</v>
      </c>
      <c r="J24" s="62" t="s">
        <v>89</v>
      </c>
      <c r="K24" s="61">
        <v>670</v>
      </c>
      <c r="L24" s="61" t="s">
        <v>90</v>
      </c>
      <c r="M24" s="62" t="s">
        <v>82</v>
      </c>
      <c r="N24" s="62" t="s">
        <v>83</v>
      </c>
      <c r="O24" s="63" t="s">
        <v>91</v>
      </c>
      <c r="P24" s="64" t="s">
        <v>92</v>
      </c>
    </row>
    <row r="25" spans="1:16" ht="12.75" customHeight="1" thickBot="1" x14ac:dyDescent="0.25">
      <c r="A25" s="14" t="str">
        <f t="shared" si="0"/>
        <v>OEJV 0137 </v>
      </c>
      <c r="B25" s="3" t="str">
        <f t="shared" si="1"/>
        <v>I</v>
      </c>
      <c r="C25" s="14">
        <f t="shared" si="2"/>
        <v>55374.393100000001</v>
      </c>
      <c r="D25" s="12" t="str">
        <f t="shared" si="3"/>
        <v>vis</v>
      </c>
      <c r="E25" s="60">
        <f>VLOOKUP(C25,Active!C$21:E$972,3,FALSE)</f>
        <v>7834.9816215983647</v>
      </c>
      <c r="F25" s="3" t="s">
        <v>70</v>
      </c>
      <c r="G25" s="12" t="str">
        <f t="shared" si="4"/>
        <v>55374.3931</v>
      </c>
      <c r="H25" s="14">
        <f t="shared" si="5"/>
        <v>3276</v>
      </c>
      <c r="I25" s="61" t="s">
        <v>132</v>
      </c>
      <c r="J25" s="62" t="s">
        <v>133</v>
      </c>
      <c r="K25" s="61">
        <v>3276</v>
      </c>
      <c r="L25" s="61" t="s">
        <v>134</v>
      </c>
      <c r="M25" s="62" t="s">
        <v>75</v>
      </c>
      <c r="N25" s="62" t="s">
        <v>38</v>
      </c>
      <c r="O25" s="63" t="s">
        <v>135</v>
      </c>
      <c r="P25" s="64" t="s">
        <v>136</v>
      </c>
    </row>
    <row r="26" spans="1:16" x14ac:dyDescent="0.2">
      <c r="B26" s="3"/>
      <c r="E26" s="60"/>
      <c r="F26" s="3"/>
    </row>
    <row r="27" spans="1:16" x14ac:dyDescent="0.2">
      <c r="B27" s="3"/>
      <c r="E27" s="60"/>
      <c r="F27" s="3"/>
    </row>
    <row r="28" spans="1:16" x14ac:dyDescent="0.2">
      <c r="B28" s="3"/>
      <c r="E28" s="60"/>
      <c r="F28" s="3"/>
    </row>
    <row r="29" spans="1:16" x14ac:dyDescent="0.2">
      <c r="B29" s="3"/>
      <c r="E29" s="60"/>
      <c r="F29" s="3"/>
    </row>
    <row r="30" spans="1:16" x14ac:dyDescent="0.2">
      <c r="B30" s="3"/>
      <c r="E30" s="60"/>
      <c r="F30" s="3"/>
    </row>
    <row r="31" spans="1:16" x14ac:dyDescent="0.2">
      <c r="B31" s="3"/>
      <c r="E31" s="60"/>
      <c r="F31" s="3"/>
    </row>
    <row r="32" spans="1:16" x14ac:dyDescent="0.2">
      <c r="B32" s="3"/>
      <c r="E32" s="60"/>
      <c r="F32" s="3"/>
    </row>
    <row r="33" spans="2:6" x14ac:dyDescent="0.2">
      <c r="B33" s="3"/>
      <c r="E33" s="60"/>
      <c r="F33" s="3"/>
    </row>
    <row r="34" spans="2:6" x14ac:dyDescent="0.2">
      <c r="B34" s="3"/>
      <c r="E34" s="60"/>
      <c r="F34" s="3"/>
    </row>
    <row r="35" spans="2:6" x14ac:dyDescent="0.2">
      <c r="B35" s="3"/>
      <c r="E35" s="60"/>
      <c r="F35" s="3"/>
    </row>
    <row r="36" spans="2:6" x14ac:dyDescent="0.2">
      <c r="B36" s="3"/>
      <c r="E36" s="60"/>
      <c r="F36" s="3"/>
    </row>
    <row r="37" spans="2:6" x14ac:dyDescent="0.2">
      <c r="B37" s="3"/>
      <c r="E37" s="60"/>
      <c r="F37" s="3"/>
    </row>
    <row r="38" spans="2:6" x14ac:dyDescent="0.2">
      <c r="B38" s="3"/>
      <c r="E38" s="60"/>
      <c r="F38" s="3"/>
    </row>
    <row r="39" spans="2:6" x14ac:dyDescent="0.2">
      <c r="B39" s="3"/>
      <c r="E39" s="60"/>
      <c r="F39" s="3"/>
    </row>
    <row r="40" spans="2:6" x14ac:dyDescent="0.2">
      <c r="B40" s="3"/>
      <c r="E40" s="60"/>
      <c r="F40" s="3"/>
    </row>
    <row r="41" spans="2:6" x14ac:dyDescent="0.2">
      <c r="B41" s="3"/>
      <c r="E41" s="60"/>
      <c r="F41" s="3"/>
    </row>
    <row r="42" spans="2:6" x14ac:dyDescent="0.2">
      <c r="B42" s="3"/>
      <c r="E42" s="60"/>
      <c r="F42" s="3"/>
    </row>
    <row r="43" spans="2:6" x14ac:dyDescent="0.2">
      <c r="B43" s="3"/>
      <c r="E43" s="60"/>
      <c r="F43" s="3"/>
    </row>
    <row r="44" spans="2:6" x14ac:dyDescent="0.2">
      <c r="B44" s="3"/>
      <c r="E44" s="60"/>
      <c r="F44" s="3"/>
    </row>
    <row r="45" spans="2:6" x14ac:dyDescent="0.2">
      <c r="B45" s="3"/>
      <c r="E45" s="60"/>
      <c r="F45" s="3"/>
    </row>
    <row r="46" spans="2:6" x14ac:dyDescent="0.2">
      <c r="B46" s="3"/>
      <c r="E46" s="60"/>
      <c r="F46" s="3"/>
    </row>
    <row r="47" spans="2:6" x14ac:dyDescent="0.2">
      <c r="B47" s="3"/>
      <c r="E47" s="60"/>
      <c r="F47" s="3"/>
    </row>
    <row r="48" spans="2:6" x14ac:dyDescent="0.2">
      <c r="B48" s="3"/>
      <c r="E48" s="60"/>
      <c r="F48" s="3"/>
    </row>
    <row r="49" spans="2:6" x14ac:dyDescent="0.2">
      <c r="B49" s="3"/>
      <c r="E49" s="60"/>
      <c r="F49" s="3"/>
    </row>
    <row r="50" spans="2:6" x14ac:dyDescent="0.2">
      <c r="B50" s="3"/>
      <c r="E50" s="60"/>
      <c r="F50" s="3"/>
    </row>
    <row r="51" spans="2:6" x14ac:dyDescent="0.2">
      <c r="B51" s="3"/>
      <c r="E51" s="60"/>
      <c r="F51" s="3"/>
    </row>
    <row r="52" spans="2:6" x14ac:dyDescent="0.2">
      <c r="B52" s="3"/>
      <c r="E52" s="60"/>
      <c r="F52" s="3"/>
    </row>
    <row r="53" spans="2:6" x14ac:dyDescent="0.2">
      <c r="B53" s="3"/>
      <c r="E53" s="60"/>
      <c r="F53" s="3"/>
    </row>
    <row r="54" spans="2:6" x14ac:dyDescent="0.2">
      <c r="B54" s="3"/>
      <c r="E54" s="60"/>
      <c r="F54" s="3"/>
    </row>
    <row r="55" spans="2:6" x14ac:dyDescent="0.2">
      <c r="B55" s="3"/>
      <c r="E55" s="60"/>
      <c r="F55" s="3"/>
    </row>
    <row r="56" spans="2:6" x14ac:dyDescent="0.2">
      <c r="B56" s="3"/>
      <c r="E56" s="60"/>
      <c r="F56" s="3"/>
    </row>
    <row r="57" spans="2:6" x14ac:dyDescent="0.2">
      <c r="B57" s="3"/>
      <c r="E57" s="60"/>
      <c r="F57" s="3"/>
    </row>
    <row r="58" spans="2:6" x14ac:dyDescent="0.2">
      <c r="B58" s="3"/>
      <c r="E58" s="60"/>
      <c r="F58" s="3"/>
    </row>
    <row r="59" spans="2:6" x14ac:dyDescent="0.2">
      <c r="B59" s="3"/>
      <c r="E59" s="60"/>
      <c r="F59" s="3"/>
    </row>
    <row r="60" spans="2:6" x14ac:dyDescent="0.2">
      <c r="B60" s="3"/>
      <c r="E60" s="60"/>
      <c r="F60" s="3"/>
    </row>
    <row r="61" spans="2:6" x14ac:dyDescent="0.2">
      <c r="B61" s="3"/>
      <c r="E61" s="60"/>
      <c r="F61" s="3"/>
    </row>
    <row r="62" spans="2:6" x14ac:dyDescent="0.2">
      <c r="B62" s="3"/>
      <c r="E62" s="60"/>
      <c r="F62" s="3"/>
    </row>
    <row r="63" spans="2:6" x14ac:dyDescent="0.2">
      <c r="B63" s="3"/>
      <c r="E63" s="60"/>
      <c r="F63" s="3"/>
    </row>
    <row r="64" spans="2:6" x14ac:dyDescent="0.2">
      <c r="B64" s="3"/>
      <c r="E64" s="60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</sheetData>
  <phoneticPr fontId="7" type="noConversion"/>
  <hyperlinks>
    <hyperlink ref="P11" r:id="rId1" display="http://var.astro.cz/oejv/issues/oejv0074.pdf"/>
    <hyperlink ref="P12" r:id="rId2" display="http://www.konkoly.hu/cgi-bin/IBVS?5645"/>
    <hyperlink ref="P13" r:id="rId3" display="http://www.konkoly.hu/cgi-bin/IBVS?5645"/>
    <hyperlink ref="P24" r:id="rId4" display="http://www.konkoly.hu/cgi-bin/IBVS?5602"/>
    <hyperlink ref="P14" r:id="rId5" display="http://www.konkoly.hu/cgi-bin/IBVS?5592"/>
    <hyperlink ref="P15" r:id="rId6" display="http://www.konkoly.hu/cgi-bin/IBVS?5603"/>
    <hyperlink ref="P16" r:id="rId7" display="http://www.konkoly.hu/cgi-bin/IBVS?5603"/>
    <hyperlink ref="P17" r:id="rId8" display="http://www.konkoly.hu/cgi-bin/IBVS?6153"/>
    <hyperlink ref="P18" r:id="rId9" display="http://www.konkoly.hu/cgi-bin/IBVS?6153"/>
    <hyperlink ref="P19" r:id="rId10" display="http://www.konkoly.hu/cgi-bin/IBVS?6153"/>
    <hyperlink ref="P20" r:id="rId11" display="http://www.konkoly.hu/cgi-bin/IBVS?6153"/>
    <hyperlink ref="P21" r:id="rId12" display="http://www.konkoly.hu/cgi-bin/IBVS?5760"/>
    <hyperlink ref="P22" r:id="rId13" display="http://www.konkoly.hu/cgi-bin/IBVS?5974"/>
    <hyperlink ref="P23" r:id="rId14" display="http://www.konkoly.hu/cgi-bin/IBVS?5966"/>
    <hyperlink ref="P25" r:id="rId15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2024-02-14T04:23:17Z</dcterms:modified>
</cp:coreProperties>
</file>