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40009_{ADDDE02A-03CF-497E-AA83-E652136BFAD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4" r:id="rId1"/>
    <sheet name="A (old)" sheetId="1" r:id="rId2"/>
    <sheet name="BAV" sheetId="5" r:id="rId3"/>
  </sheets>
  <calcPr calcId="181029"/>
</workbook>
</file>

<file path=xl/calcChain.xml><?xml version="1.0" encoding="utf-8"?>
<calcChain xmlns="http://schemas.openxmlformats.org/spreadsheetml/2006/main">
  <c r="E50" i="4" l="1"/>
  <c r="F50" i="4"/>
  <c r="G50" i="4"/>
  <c r="K50" i="4"/>
  <c r="Q50" i="4"/>
  <c r="E51" i="4"/>
  <c r="F51" i="4"/>
  <c r="G51" i="4"/>
  <c r="K51" i="4"/>
  <c r="Q51" i="4"/>
  <c r="E52" i="4"/>
  <c r="F52" i="4"/>
  <c r="G52" i="4"/>
  <c r="K52" i="4"/>
  <c r="Q52" i="4"/>
  <c r="E53" i="4"/>
  <c r="F53" i="4"/>
  <c r="G53" i="4"/>
  <c r="K53" i="4"/>
  <c r="Q53" i="4"/>
  <c r="G33" i="5"/>
  <c r="C33" i="5"/>
  <c r="E33" i="5"/>
  <c r="G32" i="5"/>
  <c r="C32" i="5"/>
  <c r="E32" i="5"/>
  <c r="G31" i="5"/>
  <c r="C31" i="5"/>
  <c r="E31" i="5"/>
  <c r="G30" i="5"/>
  <c r="C30" i="5"/>
  <c r="E30" i="5"/>
  <c r="G29" i="5"/>
  <c r="C29" i="5"/>
  <c r="E29" i="5"/>
  <c r="G28" i="5"/>
  <c r="C28" i="5"/>
  <c r="E28" i="5"/>
  <c r="G27" i="5"/>
  <c r="C27" i="5"/>
  <c r="E27" i="5"/>
  <c r="G26" i="5"/>
  <c r="C26" i="5"/>
  <c r="E26" i="5"/>
  <c r="G25" i="5"/>
  <c r="C25" i="5"/>
  <c r="E25" i="5"/>
  <c r="G24" i="5"/>
  <c r="C24" i="5"/>
  <c r="G23" i="5"/>
  <c r="C23" i="5"/>
  <c r="G22" i="5"/>
  <c r="C22" i="5"/>
  <c r="E22" i="5"/>
  <c r="G21" i="5"/>
  <c r="C21" i="5"/>
  <c r="E21" i="5"/>
  <c r="G20" i="5"/>
  <c r="C20" i="5"/>
  <c r="E20" i="5"/>
  <c r="G19" i="5"/>
  <c r="C19" i="5"/>
  <c r="E19" i="5"/>
  <c r="G18" i="5"/>
  <c r="C18" i="5"/>
  <c r="E18" i="5"/>
  <c r="G17" i="5"/>
  <c r="C17" i="5"/>
  <c r="E17" i="5"/>
  <c r="G16" i="5"/>
  <c r="C16" i="5"/>
  <c r="E16" i="5"/>
  <c r="G15" i="5"/>
  <c r="C15" i="5"/>
  <c r="E15" i="5"/>
  <c r="G14" i="5"/>
  <c r="C14" i="5"/>
  <c r="E14" i="5"/>
  <c r="G13" i="5"/>
  <c r="C13" i="5"/>
  <c r="E13" i="5"/>
  <c r="G12" i="5"/>
  <c r="C12" i="5"/>
  <c r="E12" i="5"/>
  <c r="G11" i="5"/>
  <c r="C11" i="5"/>
  <c r="E11" i="5"/>
  <c r="H33" i="5"/>
  <c r="B33" i="5"/>
  <c r="D33" i="5"/>
  <c r="A33" i="5"/>
  <c r="H32" i="5"/>
  <c r="B32" i="5"/>
  <c r="D32" i="5"/>
  <c r="A32" i="5"/>
  <c r="H31" i="5"/>
  <c r="B31" i="5"/>
  <c r="D31" i="5"/>
  <c r="A31" i="5"/>
  <c r="H30" i="5"/>
  <c r="B30" i="5"/>
  <c r="D30" i="5"/>
  <c r="A30" i="5"/>
  <c r="H29" i="5"/>
  <c r="B29" i="5"/>
  <c r="D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25" i="5"/>
  <c r="B25" i="5"/>
  <c r="D25" i="5"/>
  <c r="A25" i="5"/>
  <c r="H24" i="5"/>
  <c r="B24" i="5"/>
  <c r="D24" i="5"/>
  <c r="A24" i="5"/>
  <c r="H23" i="5"/>
  <c r="B23" i="5"/>
  <c r="D23" i="5"/>
  <c r="A23" i="5"/>
  <c r="H22" i="5"/>
  <c r="B22" i="5"/>
  <c r="D22" i="5"/>
  <c r="A22" i="5"/>
  <c r="H21" i="5"/>
  <c r="B21" i="5"/>
  <c r="D21" i="5"/>
  <c r="A21" i="5"/>
  <c r="H20" i="5"/>
  <c r="B20" i="5"/>
  <c r="D20" i="5"/>
  <c r="A20" i="5"/>
  <c r="H19" i="5"/>
  <c r="B19" i="5"/>
  <c r="D19" i="5"/>
  <c r="A19" i="5"/>
  <c r="H18" i="5"/>
  <c r="B18" i="5"/>
  <c r="D18" i="5"/>
  <c r="A18" i="5"/>
  <c r="H17" i="5"/>
  <c r="B17" i="5"/>
  <c r="D17" i="5"/>
  <c r="A17" i="5"/>
  <c r="H16" i="5"/>
  <c r="B16" i="5"/>
  <c r="D16" i="5"/>
  <c r="A16" i="5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H11" i="5"/>
  <c r="B11" i="5"/>
  <c r="D11" i="5"/>
  <c r="A11" i="5"/>
  <c r="E49" i="4"/>
  <c r="F49" i="4"/>
  <c r="G49" i="4"/>
  <c r="K49" i="4"/>
  <c r="C9" i="4"/>
  <c r="Q49" i="4"/>
  <c r="E47" i="4"/>
  <c r="F47" i="4"/>
  <c r="G47" i="4"/>
  <c r="J47" i="4"/>
  <c r="E48" i="4"/>
  <c r="F48" i="4"/>
  <c r="G48" i="4"/>
  <c r="K48" i="4"/>
  <c r="E43" i="4"/>
  <c r="F43" i="4"/>
  <c r="G43" i="4"/>
  <c r="I43" i="4"/>
  <c r="E21" i="4"/>
  <c r="F21" i="4"/>
  <c r="G21" i="4"/>
  <c r="K21" i="4"/>
  <c r="E22" i="4"/>
  <c r="F22" i="4"/>
  <c r="G22" i="4"/>
  <c r="K22" i="4"/>
  <c r="E23" i="4"/>
  <c r="F23" i="4"/>
  <c r="G23" i="4"/>
  <c r="I23" i="4"/>
  <c r="E24" i="4"/>
  <c r="F24" i="4"/>
  <c r="G24" i="4"/>
  <c r="J24" i="4"/>
  <c r="E25" i="4"/>
  <c r="F25" i="4"/>
  <c r="G25" i="4"/>
  <c r="J25" i="4"/>
  <c r="E26" i="4"/>
  <c r="F26" i="4"/>
  <c r="G26" i="4"/>
  <c r="I26" i="4"/>
  <c r="E27" i="4"/>
  <c r="F27" i="4"/>
  <c r="G27" i="4"/>
  <c r="J27" i="4"/>
  <c r="E28" i="4"/>
  <c r="F28" i="4"/>
  <c r="G28" i="4"/>
  <c r="K28" i="4"/>
  <c r="E29" i="4"/>
  <c r="F29" i="4"/>
  <c r="G29" i="4"/>
  <c r="K29" i="4"/>
  <c r="E30" i="4"/>
  <c r="F30" i="4"/>
  <c r="G30" i="4"/>
  <c r="K30" i="4"/>
  <c r="E31" i="4"/>
  <c r="F31" i="4"/>
  <c r="G31" i="4"/>
  <c r="K31" i="4"/>
  <c r="E32" i="4"/>
  <c r="F32" i="4"/>
  <c r="G32" i="4"/>
  <c r="K32" i="4"/>
  <c r="E33" i="4"/>
  <c r="F33" i="4"/>
  <c r="G33" i="4"/>
  <c r="K33" i="4"/>
  <c r="E34" i="4"/>
  <c r="F34" i="4"/>
  <c r="G34" i="4"/>
  <c r="I34" i="4"/>
  <c r="E35" i="4"/>
  <c r="F35" i="4"/>
  <c r="G35" i="4"/>
  <c r="I35" i="4"/>
  <c r="E36" i="4"/>
  <c r="F36" i="4"/>
  <c r="G36" i="4"/>
  <c r="I36" i="4"/>
  <c r="E37" i="4"/>
  <c r="F37" i="4"/>
  <c r="G37" i="4"/>
  <c r="I37" i="4"/>
  <c r="E38" i="4"/>
  <c r="F38" i="4"/>
  <c r="G38" i="4"/>
  <c r="I38" i="4"/>
  <c r="E39" i="4"/>
  <c r="F39" i="4"/>
  <c r="G39" i="4"/>
  <c r="I39" i="4"/>
  <c r="E40" i="4"/>
  <c r="F40" i="4"/>
  <c r="G40" i="4"/>
  <c r="K40" i="4"/>
  <c r="E41" i="4"/>
  <c r="F41" i="4"/>
  <c r="G41" i="4"/>
  <c r="K41" i="4"/>
  <c r="E42" i="4"/>
  <c r="F42" i="4"/>
  <c r="G42" i="4"/>
  <c r="K42" i="4"/>
  <c r="E44" i="4"/>
  <c r="F44" i="4"/>
  <c r="G44" i="4"/>
  <c r="J44" i="4"/>
  <c r="E45" i="4"/>
  <c r="F45" i="4"/>
  <c r="G45" i="4"/>
  <c r="K45" i="4"/>
  <c r="E46" i="4"/>
  <c r="F46" i="4"/>
  <c r="G46" i="4"/>
  <c r="J46" i="4"/>
  <c r="D9" i="4"/>
  <c r="Q47" i="4"/>
  <c r="Q48" i="4"/>
  <c r="Q43" i="4"/>
  <c r="F16" i="4"/>
  <c r="F17" i="4" s="1"/>
  <c r="C17" i="4"/>
  <c r="Q46" i="4"/>
  <c r="Q39" i="4"/>
  <c r="Q44" i="4"/>
  <c r="Q45" i="4"/>
  <c r="Q27" i="4"/>
  <c r="Q24" i="4"/>
  <c r="Q25" i="4"/>
  <c r="Q21" i="4"/>
  <c r="Q22" i="4"/>
  <c r="Q23" i="4"/>
  <c r="Q26" i="4"/>
  <c r="Q28" i="4"/>
  <c r="Q29" i="4"/>
  <c r="Q30" i="4"/>
  <c r="Q31" i="4"/>
  <c r="Q32" i="4"/>
  <c r="Q33" i="4"/>
  <c r="Q34" i="4"/>
  <c r="Q35" i="4"/>
  <c r="Q36" i="4"/>
  <c r="Q37" i="4"/>
  <c r="Q38" i="4"/>
  <c r="Q40" i="4"/>
  <c r="Q41" i="4"/>
  <c r="Q42" i="4"/>
  <c r="F30" i="1"/>
  <c r="G30" i="1"/>
  <c r="H30" i="1"/>
  <c r="F31" i="1"/>
  <c r="G31" i="1"/>
  <c r="I31" i="1"/>
  <c r="F38" i="1"/>
  <c r="G38" i="1"/>
  <c r="H38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E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H36" i="1"/>
  <c r="E37" i="1"/>
  <c r="F37" i="1"/>
  <c r="G37" i="1"/>
  <c r="H37" i="1"/>
  <c r="E38" i="1"/>
  <c r="E21" i="1"/>
  <c r="F21" i="1"/>
  <c r="G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C18" i="1"/>
  <c r="Q21" i="1"/>
  <c r="E23" i="5"/>
  <c r="E24" i="5"/>
  <c r="H21" i="1"/>
  <c r="C11" i="1"/>
  <c r="C12" i="1"/>
  <c r="C16" i="1"/>
  <c r="D18" i="1"/>
  <c r="O25" i="1"/>
  <c r="O31" i="1"/>
  <c r="O34" i="1"/>
  <c r="O29" i="1"/>
  <c r="O33" i="1"/>
  <c r="O24" i="1"/>
  <c r="O37" i="1"/>
  <c r="O21" i="1"/>
  <c r="O28" i="1"/>
  <c r="O32" i="1"/>
  <c r="O36" i="1"/>
  <c r="O26" i="1"/>
  <c r="O23" i="1"/>
  <c r="O22" i="1"/>
  <c r="O27" i="1"/>
  <c r="O30" i="1"/>
  <c r="O35" i="1"/>
  <c r="O38" i="1"/>
  <c r="C11" i="4"/>
  <c r="C12" i="4"/>
  <c r="C16" i="4" l="1"/>
  <c r="D18" i="4" s="1"/>
  <c r="O30" i="4"/>
  <c r="O25" i="4"/>
  <c r="O32" i="4"/>
  <c r="O40" i="4"/>
  <c r="O43" i="4"/>
  <c r="O52" i="4"/>
  <c r="O29" i="4"/>
  <c r="O38" i="4"/>
  <c r="C15" i="4"/>
  <c r="O23" i="4"/>
  <c r="O36" i="4"/>
  <c r="O41" i="4"/>
  <c r="O44" i="4"/>
  <c r="O26" i="4"/>
  <c r="O39" i="4"/>
  <c r="O47" i="4"/>
  <c r="O27" i="4"/>
  <c r="O45" i="4"/>
  <c r="O28" i="4"/>
  <c r="O35" i="4"/>
  <c r="O53" i="4"/>
  <c r="O46" i="4"/>
  <c r="O49" i="4"/>
  <c r="O33" i="4"/>
  <c r="O42" i="4"/>
  <c r="O50" i="4"/>
  <c r="O22" i="4"/>
  <c r="O21" i="4"/>
  <c r="O31" i="4"/>
  <c r="O37" i="4"/>
  <c r="O24" i="4"/>
  <c r="O48" i="4"/>
  <c r="O34" i="4"/>
  <c r="O51" i="4"/>
  <c r="F18" i="4" l="1"/>
  <c r="F19" i="4" s="1"/>
  <c r="C18" i="4"/>
</calcChain>
</file>

<file path=xl/sharedStrings.xml><?xml version="1.0" encoding="utf-8"?>
<sst xmlns="http://schemas.openxmlformats.org/spreadsheetml/2006/main" count="381" uniqueCount="177">
  <si>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</si>
  <si>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</si>
  <si>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</si>
  <si>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</si>
  <si>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</si>
  <si>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</si>
  <si>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</si>
  <si>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</si>
  <si>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</si>
  <si>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</si>
  <si>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</si>
  <si>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</si>
  <si>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</si>
  <si>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</si>
  <si>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</si>
  <si>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</si>
  <si>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</si>
  <si>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</si>
  <si>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</si>
  <si>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</si>
  <si>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</si>
  <si>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</si>
  <si>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</si>
  <si>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</si>
  <si>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</si>
  <si>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</si>
  <si>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</si>
  <si>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</si>
  <si>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</si>
  <si>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</si>
  <si>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IBVS</t>
  </si>
  <si>
    <t>V1034 Her / GSC 0983-1044</t>
  </si>
  <si>
    <t>IBVS 5231</t>
  </si>
  <si>
    <t>IBVS 5060</t>
  </si>
  <si>
    <t>II</t>
  </si>
  <si>
    <t>I</t>
  </si>
  <si>
    <t>K.Locher BBS 128</t>
  </si>
  <si>
    <t>K.Locher BBS 129</t>
  </si>
  <si>
    <t>IBVS 5592</t>
  </si>
  <si>
    <t>IBVS 5543</t>
  </si>
  <si>
    <t>Locher</t>
  </si>
  <si>
    <t>ROTSE</t>
  </si>
  <si>
    <t xml:space="preserve">EA/RS </t>
  </si>
  <si>
    <t>IBVS 5662</t>
  </si>
  <si>
    <t>Checked by ToMcat (period search software)</t>
  </si>
  <si>
    <t># of data points:</t>
  </si>
  <si>
    <t>IBVS 5731</t>
  </si>
  <si>
    <t>V1034 Her / GSC0 0983-01044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</si>
  <si>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</si>
  <si>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</si>
  <si>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</si>
  <si>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</si>
  <si>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</si>
  <si>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</si>
  <si>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</si>
  <si>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</si>
  <si>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Add cycle</t>
  </si>
  <si>
    <t>Old Cycle</t>
  </si>
  <si>
    <t>IBVS 5959</t>
  </si>
  <si>
    <t>IBVS 5992</t>
  </si>
  <si>
    <t>OEJV 0003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</si>
  <si>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</si>
  <si>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</si>
  <si>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</si>
  <si>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</si>
  <si>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</si>
  <si>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</si>
  <si>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</si>
  <si>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</si>
  <si>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</si>
  <si>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</si>
  <si>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</si>
  <si>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</si>
  <si>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2445901.652 </t>
  </si>
  <si>
    <t> 20.07.1984 03:38 </t>
  </si>
  <si>
    <t> 0.012 </t>
  </si>
  <si>
    <t>P </t>
  </si>
  <si>
    <t> D.H.Kaiser et al. </t>
  </si>
  <si>
    <t>IBVS 5231 </t>
  </si>
  <si>
    <t>2446116.891 </t>
  </si>
  <si>
    <t> 20.02.1985 09:23 </t>
  </si>
  <si>
    <t> 0.014 </t>
  </si>
  <si>
    <t>2451738.7197 </t>
  </si>
  <si>
    <t> 13.07.2000 05:16 </t>
  </si>
  <si>
    <t> 0.0003 </t>
  </si>
  <si>
    <t>E </t>
  </si>
  <si>
    <t>?</t>
  </si>
  <si>
    <t>2451740.7594 </t>
  </si>
  <si>
    <t> 15.07.2000 06:13 </t>
  </si>
  <si>
    <t> 0.0018 </t>
  </si>
  <si>
    <t>2451747.6883 </t>
  </si>
  <si>
    <t> 22.07.2000 04:31 </t>
  </si>
  <si>
    <t> 0.0007 </t>
  </si>
  <si>
    <t>2451753.8028 </t>
  </si>
  <si>
    <t> 28.07.2000 07:16 </t>
  </si>
  <si>
    <t> 0.0005 </t>
  </si>
  <si>
    <t>2451767.6641 </t>
  </si>
  <si>
    <t> 11.08.2000 03:56 </t>
  </si>
  <si>
    <t> 0.0019 </t>
  </si>
  <si>
    <t>2452084.8118 </t>
  </si>
  <si>
    <t> 24.06.2001 07:28 </t>
  </si>
  <si>
    <t> 0.0012 </t>
  </si>
  <si>
    <t>2452395.439 </t>
  </si>
  <si>
    <t> 30.04.2002 22:32 </t>
  </si>
  <si>
    <t> 0.002 </t>
  </si>
  <si>
    <t>V </t>
  </si>
  <si>
    <t> K.Locher </t>
  </si>
  <si>
    <t> BBS 128 </t>
  </si>
  <si>
    <t>2452412.566 </t>
  </si>
  <si>
    <t> 18.05.2002 01:35 </t>
  </si>
  <si>
    <t> 0.008 </t>
  </si>
  <si>
    <t>2452426.431 </t>
  </si>
  <si>
    <t> 31.05.2002 22:20 </t>
  </si>
  <si>
    <t> 0.013 </t>
  </si>
  <si>
    <t>2452501.434 </t>
  </si>
  <si>
    <t> 14.08.2002 22:24 </t>
  </si>
  <si>
    <t> 0.009 </t>
  </si>
  <si>
    <t>2452792.489 </t>
  </si>
  <si>
    <t> 01.06.2003 23:44 </t>
  </si>
  <si>
    <t> 0.005 </t>
  </si>
  <si>
    <t> BBS 129 </t>
  </si>
  <si>
    <t>2452873.1962 </t>
  </si>
  <si>
    <t> 21.08.2003 16:42 </t>
  </si>
  <si>
    <t> -0.0013 </t>
  </si>
  <si>
    <t> T.Krajci </t>
  </si>
  <si>
    <t>IBVS 5592 </t>
  </si>
  <si>
    <t>2453130.4213 </t>
  </si>
  <si>
    <t> 04.05.2004 22:06 </t>
  </si>
  <si>
    <t> -0.0007 </t>
  </si>
  <si>
    <t>2453149.585 </t>
  </si>
  <si>
    <t> 24.05.2004 02:02 </t>
  </si>
  <si>
    <t> 0.004 </t>
  </si>
  <si>
    <t> BBS 130 </t>
  </si>
  <si>
    <t>2453440.647 </t>
  </si>
  <si>
    <t> 11.03.2005 03:31 </t>
  </si>
  <si>
    <t> 0.007 </t>
  </si>
  <si>
    <t>OEJV 0003 </t>
  </si>
  <si>
    <t>2453518.5010 </t>
  </si>
  <si>
    <t> 28.05.2005 00:01 </t>
  </si>
  <si>
    <t>C </t>
  </si>
  <si>
    <t>-I</t>
  </si>
  <si>
    <t> F.Agerer </t>
  </si>
  <si>
    <t>BAVM 178 </t>
  </si>
  <si>
    <t>2453596.3613 </t>
  </si>
  <si>
    <t> 13.08.2005 20:40 </t>
  </si>
  <si>
    <t>1344</t>
  </si>
  <si>
    <t> 0.0002 </t>
  </si>
  <si>
    <t> V.Bakis et al. </t>
  </si>
  <si>
    <t>IBVS 5662 </t>
  </si>
  <si>
    <t>2454200.4918 </t>
  </si>
  <si>
    <t> 09.04.2007 23:48 </t>
  </si>
  <si>
    <t>2085</t>
  </si>
  <si>
    <t> -0.0003 </t>
  </si>
  <si>
    <t>BAVM 186 </t>
  </si>
  <si>
    <t>2455352.4994 </t>
  </si>
  <si>
    <t> 04.06.2010 23:59 </t>
  </si>
  <si>
    <t>3498</t>
  </si>
  <si>
    <t> 0.0004 </t>
  </si>
  <si>
    <t>BAVM 214 </t>
  </si>
  <si>
    <t>2455672.9082 </t>
  </si>
  <si>
    <t> 21.04.2011 09:47 </t>
  </si>
  <si>
    <t>3891</t>
  </si>
  <si>
    <t> R.Diethelm </t>
  </si>
  <si>
    <t>IBVS 5992 </t>
  </si>
  <si>
    <t>2456052.8317 </t>
  </si>
  <si>
    <t> 05.05.2012 07:57 </t>
  </si>
  <si>
    <t>4357</t>
  </si>
  <si>
    <t> -0.0027 </t>
  </si>
  <si>
    <t>IBVS 6029 </t>
  </si>
  <si>
    <t>JAVSO..44…69</t>
  </si>
  <si>
    <t>JAVSO..45..121</t>
  </si>
  <si>
    <t>JAVSO..45..215</t>
  </si>
  <si>
    <t>s5</t>
  </si>
  <si>
    <t>s6</t>
  </si>
  <si>
    <t>s7</t>
  </si>
  <si>
    <t>PR</t>
  </si>
  <si>
    <t>vis/CCD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</si>
</sst>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2" formatCode="0.0000"/>
    <numFmt numFmtId="173" formatCode="0.000"/>
    <numFmt numFmtId="175" formatCode="0.00000000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 Unicode MS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2" applyNumberFormat="0" applyFont="0" applyFill="0" applyAlignment="0" applyProtection="0"/>
  </cellStyleXfs>
  <cellXfs count="98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72" fontId="0" fillId="0" borderId="0" xfId="0" applyNumberFormat="1" applyAlignment="1">
      <alignment horizontal="left"/>
    </xf>
    <xf numFmtId="172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3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NumberFormat="1" applyAlignment="1">
      <alignment horizontal="right" wrapText="1"/>
    </xf>
    <xf numFmtId="0" fontId="5" fillId="0" borderId="0" xfId="0" applyFont="1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0" fillId="0" borderId="0" xfId="0" applyAlignment="1">
      <alignment horizontal="right"/>
    </xf>
    <xf numFmtId="0" fontId="0" fillId="0" borderId="1" xfId="0" applyBorder="1">
      <alignment vertical="top"/>
    </xf>
    <xf numFmtId="0" fontId="0" fillId="0" borderId="0" xfId="0">
      <alignment vertical="top"/>
    </xf>
    <xf numFmtId="0" fontId="3" fillId="0" borderId="1" xfId="0" applyFont="1" applyBorder="1">
      <alignment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72" fontId="0" fillId="0" borderId="0" xfId="0" applyNumberFormat="1" applyAlignment="1"/>
    <xf numFmtId="0" fontId="0" fillId="0" borderId="0" xfId="0" applyAlignment="1">
      <alignment horizontal="right" vertical="top"/>
    </xf>
    <xf numFmtId="172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75" fontId="0" fillId="0" borderId="0" xfId="0" applyNumberFormat="1" applyAlignment="1">
      <alignment horizontal="right"/>
    </xf>
    <xf numFmtId="0" fontId="9" fillId="0" borderId="0" xfId="0" applyFont="1" applyAlignment="1"/>
    <xf numFmtId="22" fontId="5" fillId="0" borderId="0" xfId="0" applyNumberFormat="1" applyFont="1" applyAlignment="1"/>
    <xf numFmtId="172" fontId="5" fillId="0" borderId="0" xfId="0" applyNumberFormat="1" applyFont="1" applyAlignment="1"/>
    <xf numFmtId="0" fontId="10" fillId="0" borderId="0" xfId="0" applyFont="1" applyAlignment="1">
      <alignment horizontal="right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/>
    </xf>
    <xf numFmtId="172" fontId="5" fillId="0" borderId="0" xfId="0" applyNumberFormat="1" applyFont="1" applyAlignment="1">
      <alignment horizontal="left"/>
    </xf>
    <xf numFmtId="0" fontId="0" fillId="0" borderId="0" xfId="0" applyAlignment="1">
      <alignment horizontal="left" wrapText="1"/>
    </xf>
    <xf numFmtId="0" fontId="11" fillId="0" borderId="0" xfId="0" applyFont="1" applyAlignment="1"/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172" fontId="10" fillId="0" borderId="0" xfId="0" applyNumberFormat="1" applyFont="1" applyAlignment="1">
      <alignment horizontal="left"/>
    </xf>
    <xf numFmtId="173" fontId="10" fillId="0" borderId="0" xfId="0" applyNumberFormat="1" applyFont="1" applyAlignment="1">
      <alignment horizontal="left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>
      <alignment vertical="top"/>
    </xf>
    <xf numFmtId="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6" fillId="0" borderId="0" xfId="0" applyFont="1" applyAlignment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14" fontId="6" fillId="0" borderId="0" xfId="0" applyNumberFormat="1" applyFont="1" applyAlignment="1"/>
    <xf numFmtId="0" fontId="21" fillId="0" borderId="0" xfId="8" applyFont="1" applyAlignment="1">
      <alignment horizontal="left" vertical="center"/>
    </xf>
    <xf numFmtId="0" fontId="21" fillId="0" borderId="0" xfId="8" applyFont="1" applyAlignment="1">
      <alignment horizontal="center" vertical="center"/>
    </xf>
    <xf numFmtId="0" fontId="21" fillId="0" borderId="0" xfId="8" applyFont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6" fillId="0" borderId="0" xfId="0" applyNumberFormat="1" applyFont="1" applyAlignment="1">
      <alignment horizontal="right" wrapText="1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V1034 Her - O-C Diagr.</a:t>
            </a:r>
          </a:p>
        </c:rich>
      </c:tx>
      <c:layout>
        <c:manualLayout>
          <c:xMode val="edge"/>
          <c:yMode val="edge"/>
          <c:x val="0.32024815079933189"/>
          <c:y val="3.36392766855063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2256000051279"/>
          <c:y val="0.15068809381283479"/>
          <c:w val="0.78819660362967447"/>
          <c:h val="0.626072661969885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-8551</c:v>
                </c:pt>
                <c:pt idx="1">
                  <c:v>-8287</c:v>
                </c:pt>
                <c:pt idx="2">
                  <c:v>-1971.5</c:v>
                </c:pt>
                <c:pt idx="3">
                  <c:v>-1971.5</c:v>
                </c:pt>
                <c:pt idx="4">
                  <c:v>-1949.5</c:v>
                </c:pt>
                <c:pt idx="5">
                  <c:v>-1915</c:v>
                </c:pt>
                <c:pt idx="6">
                  <c:v>-1915</c:v>
                </c:pt>
                <c:pt idx="7">
                  <c:v>-1391.5</c:v>
                </c:pt>
                <c:pt idx="8">
                  <c:v>-1389</c:v>
                </c:pt>
                <c:pt idx="9">
                  <c:v>-1380.5</c:v>
                </c:pt>
                <c:pt idx="10">
                  <c:v>-1373</c:v>
                </c:pt>
                <c:pt idx="11">
                  <c:v>-1356</c:v>
                </c:pt>
                <c:pt idx="12">
                  <c:v>-967</c:v>
                </c:pt>
                <c:pt idx="13">
                  <c:v>-586</c:v>
                </c:pt>
                <c:pt idx="14">
                  <c:v>-565</c:v>
                </c:pt>
                <c:pt idx="15">
                  <c:v>-548</c:v>
                </c:pt>
                <c:pt idx="16">
                  <c:v>-456</c:v>
                </c:pt>
                <c:pt idx="17">
                  <c:v>-99</c:v>
                </c:pt>
                <c:pt idx="18">
                  <c:v>-99</c:v>
                </c:pt>
                <c:pt idx="19">
                  <c:v>0</c:v>
                </c:pt>
                <c:pt idx="20">
                  <c:v>315.5</c:v>
                </c:pt>
                <c:pt idx="21">
                  <c:v>339</c:v>
                </c:pt>
                <c:pt idx="22">
                  <c:v>696</c:v>
                </c:pt>
                <c:pt idx="23">
                  <c:v>791.5</c:v>
                </c:pt>
                <c:pt idx="24">
                  <c:v>887</c:v>
                </c:pt>
                <c:pt idx="25">
                  <c:v>1628</c:v>
                </c:pt>
                <c:pt idx="26">
                  <c:v>3041</c:v>
                </c:pt>
                <c:pt idx="27">
                  <c:v>3434</c:v>
                </c:pt>
                <c:pt idx="28">
                  <c:v>3900</c:v>
                </c:pt>
                <c:pt idx="29">
                  <c:v>4902</c:v>
                </c:pt>
                <c:pt idx="30">
                  <c:v>5346</c:v>
                </c:pt>
                <c:pt idx="31">
                  <c:v>5752</c:v>
                </c:pt>
                <c:pt idx="32">
                  <c:v>6202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08-4FA7-A1F8-F5638C90AB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2">
                    <c:v>3.0000000000000001E-3</c:v>
                  </c:pt>
                  <c:pt idx="5">
                    <c:v>0.02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5.0000000000000001E-4</c:v>
                  </c:pt>
                  <c:pt idx="21">
                    <c:v>4.0000000000000001E-3</c:v>
                  </c:pt>
                  <c:pt idx="22">
                    <c:v>3.0000000000000001E-3</c:v>
                  </c:pt>
                  <c:pt idx="23">
                    <c:v>1.1999999999999999E-3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5.0000000000000001E-4</c:v>
                  </c:pt>
                  <c:pt idx="27">
                    <c:v>8.0000000000000004E-4</c:v>
                  </c:pt>
                  <c:pt idx="28">
                    <c:v>1.6000000000000001E-3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2">
                    <c:v>3.0000000000000001E-3</c:v>
                  </c:pt>
                  <c:pt idx="5">
                    <c:v>0.02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5.0000000000000001E-4</c:v>
                  </c:pt>
                  <c:pt idx="21">
                    <c:v>4.0000000000000001E-3</c:v>
                  </c:pt>
                  <c:pt idx="22">
                    <c:v>3.0000000000000001E-3</c:v>
                  </c:pt>
                  <c:pt idx="23">
                    <c:v>1.1999999999999999E-3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5.0000000000000001E-4</c:v>
                  </c:pt>
                  <c:pt idx="27">
                    <c:v>8.0000000000000004E-4</c:v>
                  </c:pt>
                  <c:pt idx="28">
                    <c:v>1.6000000000000001E-3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-8551</c:v>
                </c:pt>
                <c:pt idx="1">
                  <c:v>-8287</c:v>
                </c:pt>
                <c:pt idx="2">
                  <c:v>-1971.5</c:v>
                </c:pt>
                <c:pt idx="3">
                  <c:v>-1971.5</c:v>
                </c:pt>
                <c:pt idx="4">
                  <c:v>-1949.5</c:v>
                </c:pt>
                <c:pt idx="5">
                  <c:v>-1915</c:v>
                </c:pt>
                <c:pt idx="6">
                  <c:v>-1915</c:v>
                </c:pt>
                <c:pt idx="7">
                  <c:v>-1391.5</c:v>
                </c:pt>
                <c:pt idx="8">
                  <c:v>-1389</c:v>
                </c:pt>
                <c:pt idx="9">
                  <c:v>-1380.5</c:v>
                </c:pt>
                <c:pt idx="10">
                  <c:v>-1373</c:v>
                </c:pt>
                <c:pt idx="11">
                  <c:v>-1356</c:v>
                </c:pt>
                <c:pt idx="12">
                  <c:v>-967</c:v>
                </c:pt>
                <c:pt idx="13">
                  <c:v>-586</c:v>
                </c:pt>
                <c:pt idx="14">
                  <c:v>-565</c:v>
                </c:pt>
                <c:pt idx="15">
                  <c:v>-548</c:v>
                </c:pt>
                <c:pt idx="16">
                  <c:v>-456</c:v>
                </c:pt>
                <c:pt idx="17">
                  <c:v>-99</c:v>
                </c:pt>
                <c:pt idx="18">
                  <c:v>-99</c:v>
                </c:pt>
                <c:pt idx="19">
                  <c:v>0</c:v>
                </c:pt>
                <c:pt idx="20">
                  <c:v>315.5</c:v>
                </c:pt>
                <c:pt idx="21">
                  <c:v>339</c:v>
                </c:pt>
                <c:pt idx="22">
                  <c:v>696</c:v>
                </c:pt>
                <c:pt idx="23">
                  <c:v>791.5</c:v>
                </c:pt>
                <c:pt idx="24">
                  <c:v>887</c:v>
                </c:pt>
                <c:pt idx="25">
                  <c:v>1628</c:v>
                </c:pt>
                <c:pt idx="26">
                  <c:v>3041</c:v>
                </c:pt>
                <c:pt idx="27">
                  <c:v>3434</c:v>
                </c:pt>
                <c:pt idx="28">
                  <c:v>3900</c:v>
                </c:pt>
                <c:pt idx="29">
                  <c:v>4902</c:v>
                </c:pt>
                <c:pt idx="30">
                  <c:v>5346</c:v>
                </c:pt>
                <c:pt idx="31">
                  <c:v>5752</c:v>
                </c:pt>
                <c:pt idx="32">
                  <c:v>6202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2">
                  <c:v>-9.157261585642118E-3</c:v>
                </c:pt>
                <c:pt idx="5">
                  <c:v>-5.0654100559768267E-3</c:v>
                </c:pt>
                <c:pt idx="13">
                  <c:v>2.9800886186421849E-3</c:v>
                </c:pt>
                <c:pt idx="14">
                  <c:v>8.8814847622415982E-3</c:v>
                </c:pt>
                <c:pt idx="15">
                  <c:v>1.3944519734650385E-2</c:v>
                </c:pt>
                <c:pt idx="16">
                  <c:v>1.0226826641883235E-2</c:v>
                </c:pt>
                <c:pt idx="17">
                  <c:v>6.5505610473337583E-3</c:v>
                </c:pt>
                <c:pt idx="18">
                  <c:v>6.5505610473337583E-3</c:v>
                </c:pt>
                <c:pt idx="22">
                  <c:v>8.6748435496701859E-3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08-4FA7-A1F8-F5638C90AB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2">
                    <c:v>3.0000000000000001E-3</c:v>
                  </c:pt>
                  <c:pt idx="5">
                    <c:v>0.02</c:v>
                  </c:pt>
                  <c:pt idx="18">
                    <c:v>3.0000000000000001E-3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2">
                    <c:v>3.0000000000000001E-3</c:v>
                  </c:pt>
                  <c:pt idx="5">
                    <c:v>0.02</c:v>
                  </c:pt>
                  <c:pt idx="18">
                    <c:v>3.0000000000000001E-3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-8551</c:v>
                </c:pt>
                <c:pt idx="1">
                  <c:v>-8287</c:v>
                </c:pt>
                <c:pt idx="2">
                  <c:v>-1971.5</c:v>
                </c:pt>
                <c:pt idx="3">
                  <c:v>-1971.5</c:v>
                </c:pt>
                <c:pt idx="4">
                  <c:v>-1949.5</c:v>
                </c:pt>
                <c:pt idx="5">
                  <c:v>-1915</c:v>
                </c:pt>
                <c:pt idx="6">
                  <c:v>-1915</c:v>
                </c:pt>
                <c:pt idx="7">
                  <c:v>-1391.5</c:v>
                </c:pt>
                <c:pt idx="8">
                  <c:v>-1389</c:v>
                </c:pt>
                <c:pt idx="9">
                  <c:v>-1380.5</c:v>
                </c:pt>
                <c:pt idx="10">
                  <c:v>-1373</c:v>
                </c:pt>
                <c:pt idx="11">
                  <c:v>-1356</c:v>
                </c:pt>
                <c:pt idx="12">
                  <c:v>-967</c:v>
                </c:pt>
                <c:pt idx="13">
                  <c:v>-586</c:v>
                </c:pt>
                <c:pt idx="14">
                  <c:v>-565</c:v>
                </c:pt>
                <c:pt idx="15">
                  <c:v>-548</c:v>
                </c:pt>
                <c:pt idx="16">
                  <c:v>-456</c:v>
                </c:pt>
                <c:pt idx="17">
                  <c:v>-99</c:v>
                </c:pt>
                <c:pt idx="18">
                  <c:v>-99</c:v>
                </c:pt>
                <c:pt idx="19">
                  <c:v>0</c:v>
                </c:pt>
                <c:pt idx="20">
                  <c:v>315.5</c:v>
                </c:pt>
                <c:pt idx="21">
                  <c:v>339</c:v>
                </c:pt>
                <c:pt idx="22">
                  <c:v>696</c:v>
                </c:pt>
                <c:pt idx="23">
                  <c:v>791.5</c:v>
                </c:pt>
                <c:pt idx="24">
                  <c:v>887</c:v>
                </c:pt>
                <c:pt idx="25">
                  <c:v>1628</c:v>
                </c:pt>
                <c:pt idx="26">
                  <c:v>3041</c:v>
                </c:pt>
                <c:pt idx="27">
                  <c:v>3434</c:v>
                </c:pt>
                <c:pt idx="28">
                  <c:v>3900</c:v>
                </c:pt>
                <c:pt idx="29">
                  <c:v>4902</c:v>
                </c:pt>
                <c:pt idx="30">
                  <c:v>5346</c:v>
                </c:pt>
                <c:pt idx="31">
                  <c:v>5752</c:v>
                </c:pt>
                <c:pt idx="32">
                  <c:v>6202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3">
                  <c:v>-3.2832615834195167E-3</c:v>
                </c:pt>
                <c:pt idx="4">
                  <c:v>8.5357248535729013E-3</c:v>
                </c:pt>
                <c:pt idx="6">
                  <c:v>-1.8694100581342354E-3</c:v>
                </c:pt>
                <c:pt idx="23">
                  <c:v>2.4407164819422178E-3</c:v>
                </c:pt>
                <c:pt idx="25">
                  <c:v>2.8129961283411831E-3</c:v>
                </c:pt>
                <c:pt idx="26">
                  <c:v>5.0640793706406839E-3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08-4FA7-A1F8-F5638C90AB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2">
                    <c:v>3.0000000000000001E-3</c:v>
                  </c:pt>
                  <c:pt idx="5">
                    <c:v>0.02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5.0000000000000001E-4</c:v>
                  </c:pt>
                  <c:pt idx="21">
                    <c:v>4.0000000000000001E-3</c:v>
                  </c:pt>
                  <c:pt idx="22">
                    <c:v>3.0000000000000001E-3</c:v>
                  </c:pt>
                  <c:pt idx="23">
                    <c:v>1.1999999999999999E-3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5.0000000000000001E-4</c:v>
                  </c:pt>
                  <c:pt idx="27">
                    <c:v>8.0000000000000004E-4</c:v>
                  </c:pt>
                  <c:pt idx="28">
                    <c:v>1.6000000000000001E-3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2">
                    <c:v>3.0000000000000001E-3</c:v>
                  </c:pt>
                  <c:pt idx="5">
                    <c:v>0.02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5.0000000000000001E-4</c:v>
                  </c:pt>
                  <c:pt idx="21">
                    <c:v>4.0000000000000001E-3</c:v>
                  </c:pt>
                  <c:pt idx="22">
                    <c:v>3.0000000000000001E-3</c:v>
                  </c:pt>
                  <c:pt idx="23">
                    <c:v>1.1999999999999999E-3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5.0000000000000001E-4</c:v>
                  </c:pt>
                  <c:pt idx="27">
                    <c:v>8.0000000000000004E-4</c:v>
                  </c:pt>
                  <c:pt idx="28">
                    <c:v>1.6000000000000001E-3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-8551</c:v>
                </c:pt>
                <c:pt idx="1">
                  <c:v>-8287</c:v>
                </c:pt>
                <c:pt idx="2">
                  <c:v>-1971.5</c:v>
                </c:pt>
                <c:pt idx="3">
                  <c:v>-1971.5</c:v>
                </c:pt>
                <c:pt idx="4">
                  <c:v>-1949.5</c:v>
                </c:pt>
                <c:pt idx="5">
                  <c:v>-1915</c:v>
                </c:pt>
                <c:pt idx="6">
                  <c:v>-1915</c:v>
                </c:pt>
                <c:pt idx="7">
                  <c:v>-1391.5</c:v>
                </c:pt>
                <c:pt idx="8">
                  <c:v>-1389</c:v>
                </c:pt>
                <c:pt idx="9">
                  <c:v>-1380.5</c:v>
                </c:pt>
                <c:pt idx="10">
                  <c:v>-1373</c:v>
                </c:pt>
                <c:pt idx="11">
                  <c:v>-1356</c:v>
                </c:pt>
                <c:pt idx="12">
                  <c:v>-967</c:v>
                </c:pt>
                <c:pt idx="13">
                  <c:v>-586</c:v>
                </c:pt>
                <c:pt idx="14">
                  <c:v>-565</c:v>
                </c:pt>
                <c:pt idx="15">
                  <c:v>-548</c:v>
                </c:pt>
                <c:pt idx="16">
                  <c:v>-456</c:v>
                </c:pt>
                <c:pt idx="17">
                  <c:v>-99</c:v>
                </c:pt>
                <c:pt idx="18">
                  <c:v>-99</c:v>
                </c:pt>
                <c:pt idx="19">
                  <c:v>0</c:v>
                </c:pt>
                <c:pt idx="20">
                  <c:v>315.5</c:v>
                </c:pt>
                <c:pt idx="21">
                  <c:v>339</c:v>
                </c:pt>
                <c:pt idx="22">
                  <c:v>696</c:v>
                </c:pt>
                <c:pt idx="23">
                  <c:v>791.5</c:v>
                </c:pt>
                <c:pt idx="24">
                  <c:v>887</c:v>
                </c:pt>
                <c:pt idx="25">
                  <c:v>1628</c:v>
                </c:pt>
                <c:pt idx="26">
                  <c:v>3041</c:v>
                </c:pt>
                <c:pt idx="27">
                  <c:v>3434</c:v>
                </c:pt>
                <c:pt idx="28">
                  <c:v>3900</c:v>
                </c:pt>
                <c:pt idx="29">
                  <c:v>4902</c:v>
                </c:pt>
                <c:pt idx="30">
                  <c:v>5346</c:v>
                </c:pt>
                <c:pt idx="31">
                  <c:v>5752</c:v>
                </c:pt>
                <c:pt idx="32">
                  <c:v>6202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0">
                  <c:v>4.0934091957751662E-3</c:v>
                </c:pt>
                <c:pt idx="1">
                  <c:v>6.4252464071614668E-3</c:v>
                </c:pt>
                <c:pt idx="7">
                  <c:v>1.0510804713703692E-4</c:v>
                </c:pt>
                <c:pt idx="8">
                  <c:v>1.5790837787790224E-3</c:v>
                </c:pt>
                <c:pt idx="9">
                  <c:v>5.1060126133961603E-4</c:v>
                </c:pt>
                <c:pt idx="10">
                  <c:v>3.3252845605602488E-4</c:v>
                </c:pt>
                <c:pt idx="11">
                  <c:v>1.6955634273472242E-3</c:v>
                </c:pt>
                <c:pt idx="12">
                  <c:v>1.426187198376283E-3</c:v>
                </c:pt>
                <c:pt idx="19">
                  <c:v>0</c:v>
                </c:pt>
                <c:pt idx="20">
                  <c:v>9.7573727543931454E-4</c:v>
                </c:pt>
                <c:pt idx="21">
                  <c:v>5.3511091464315541E-3</c:v>
                </c:pt>
                <c:pt idx="24">
                  <c:v>2.5065894078579731E-3</c:v>
                </c:pt>
                <c:pt idx="27">
                  <c:v>4.733064299216494E-3</c:v>
                </c:pt>
                <c:pt idx="28">
                  <c:v>2.9021405935054645E-3</c:v>
                </c:pt>
                <c:pt idx="29">
                  <c:v>5.1116136310156435E-3</c:v>
                </c:pt>
                <c:pt idx="30">
                  <c:v>6.0697034859913401E-3</c:v>
                </c:pt>
                <c:pt idx="31">
                  <c:v>4.1633622240624391E-3</c:v>
                </c:pt>
                <c:pt idx="32">
                  <c:v>5.7789938291534781E-3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08-4FA7-A1F8-F5638C90AB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2">
                    <c:v>3.0000000000000001E-3</c:v>
                  </c:pt>
                  <c:pt idx="5">
                    <c:v>0.02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5.0000000000000001E-4</c:v>
                  </c:pt>
                  <c:pt idx="21">
                    <c:v>4.0000000000000001E-3</c:v>
                  </c:pt>
                  <c:pt idx="22">
                    <c:v>3.0000000000000001E-3</c:v>
                  </c:pt>
                  <c:pt idx="23">
                    <c:v>1.1999999999999999E-3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5.0000000000000001E-4</c:v>
                  </c:pt>
                  <c:pt idx="27">
                    <c:v>8.0000000000000004E-4</c:v>
                  </c:pt>
                  <c:pt idx="28">
                    <c:v>1.6000000000000001E-3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2">
                    <c:v>3.0000000000000001E-3</c:v>
                  </c:pt>
                  <c:pt idx="5">
                    <c:v>0.02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5.0000000000000001E-4</c:v>
                  </c:pt>
                  <c:pt idx="21">
                    <c:v>4.0000000000000001E-3</c:v>
                  </c:pt>
                  <c:pt idx="22">
                    <c:v>3.0000000000000001E-3</c:v>
                  </c:pt>
                  <c:pt idx="23">
                    <c:v>1.1999999999999999E-3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5.0000000000000001E-4</c:v>
                  </c:pt>
                  <c:pt idx="27">
                    <c:v>8.0000000000000004E-4</c:v>
                  </c:pt>
                  <c:pt idx="28">
                    <c:v>1.6000000000000001E-3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-8551</c:v>
                </c:pt>
                <c:pt idx="1">
                  <c:v>-8287</c:v>
                </c:pt>
                <c:pt idx="2">
                  <c:v>-1971.5</c:v>
                </c:pt>
                <c:pt idx="3">
                  <c:v>-1971.5</c:v>
                </c:pt>
                <c:pt idx="4">
                  <c:v>-1949.5</c:v>
                </c:pt>
                <c:pt idx="5">
                  <c:v>-1915</c:v>
                </c:pt>
                <c:pt idx="6">
                  <c:v>-1915</c:v>
                </c:pt>
                <c:pt idx="7">
                  <c:v>-1391.5</c:v>
                </c:pt>
                <c:pt idx="8">
                  <c:v>-1389</c:v>
                </c:pt>
                <c:pt idx="9">
                  <c:v>-1380.5</c:v>
                </c:pt>
                <c:pt idx="10">
                  <c:v>-1373</c:v>
                </c:pt>
                <c:pt idx="11">
                  <c:v>-1356</c:v>
                </c:pt>
                <c:pt idx="12">
                  <c:v>-967</c:v>
                </c:pt>
                <c:pt idx="13">
                  <c:v>-586</c:v>
                </c:pt>
                <c:pt idx="14">
                  <c:v>-565</c:v>
                </c:pt>
                <c:pt idx="15">
                  <c:v>-548</c:v>
                </c:pt>
                <c:pt idx="16">
                  <c:v>-456</c:v>
                </c:pt>
                <c:pt idx="17">
                  <c:v>-99</c:v>
                </c:pt>
                <c:pt idx="18">
                  <c:v>-99</c:v>
                </c:pt>
                <c:pt idx="19">
                  <c:v>0</c:v>
                </c:pt>
                <c:pt idx="20">
                  <c:v>315.5</c:v>
                </c:pt>
                <c:pt idx="21">
                  <c:v>339</c:v>
                </c:pt>
                <c:pt idx="22">
                  <c:v>696</c:v>
                </c:pt>
                <c:pt idx="23">
                  <c:v>791.5</c:v>
                </c:pt>
                <c:pt idx="24">
                  <c:v>887</c:v>
                </c:pt>
                <c:pt idx="25">
                  <c:v>1628</c:v>
                </c:pt>
                <c:pt idx="26">
                  <c:v>3041</c:v>
                </c:pt>
                <c:pt idx="27">
                  <c:v>3434</c:v>
                </c:pt>
                <c:pt idx="28">
                  <c:v>3900</c:v>
                </c:pt>
                <c:pt idx="29">
                  <c:v>4902</c:v>
                </c:pt>
                <c:pt idx="30">
                  <c:v>5346</c:v>
                </c:pt>
                <c:pt idx="31">
                  <c:v>5752</c:v>
                </c:pt>
                <c:pt idx="32">
                  <c:v>6202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08-4FA7-A1F8-F5638C90AB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2">
                    <c:v>3.0000000000000001E-3</c:v>
                  </c:pt>
                  <c:pt idx="5">
                    <c:v>0.02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5.0000000000000001E-4</c:v>
                  </c:pt>
                  <c:pt idx="21">
                    <c:v>4.0000000000000001E-3</c:v>
                  </c:pt>
                  <c:pt idx="22">
                    <c:v>3.0000000000000001E-3</c:v>
                  </c:pt>
                  <c:pt idx="23">
                    <c:v>1.1999999999999999E-3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5.0000000000000001E-4</c:v>
                  </c:pt>
                  <c:pt idx="27">
                    <c:v>8.0000000000000004E-4</c:v>
                  </c:pt>
                  <c:pt idx="28">
                    <c:v>1.6000000000000001E-3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2">
                    <c:v>3.0000000000000001E-3</c:v>
                  </c:pt>
                  <c:pt idx="5">
                    <c:v>0.02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5.0000000000000001E-4</c:v>
                  </c:pt>
                  <c:pt idx="21">
                    <c:v>4.0000000000000001E-3</c:v>
                  </c:pt>
                  <c:pt idx="22">
                    <c:v>3.0000000000000001E-3</c:v>
                  </c:pt>
                  <c:pt idx="23">
                    <c:v>1.1999999999999999E-3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5.0000000000000001E-4</c:v>
                  </c:pt>
                  <c:pt idx="27">
                    <c:v>8.0000000000000004E-4</c:v>
                  </c:pt>
                  <c:pt idx="28">
                    <c:v>1.6000000000000001E-3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-8551</c:v>
                </c:pt>
                <c:pt idx="1">
                  <c:v>-8287</c:v>
                </c:pt>
                <c:pt idx="2">
                  <c:v>-1971.5</c:v>
                </c:pt>
                <c:pt idx="3">
                  <c:v>-1971.5</c:v>
                </c:pt>
                <c:pt idx="4">
                  <c:v>-1949.5</c:v>
                </c:pt>
                <c:pt idx="5">
                  <c:v>-1915</c:v>
                </c:pt>
                <c:pt idx="6">
                  <c:v>-1915</c:v>
                </c:pt>
                <c:pt idx="7">
                  <c:v>-1391.5</c:v>
                </c:pt>
                <c:pt idx="8">
                  <c:v>-1389</c:v>
                </c:pt>
                <c:pt idx="9">
                  <c:v>-1380.5</c:v>
                </c:pt>
                <c:pt idx="10">
                  <c:v>-1373</c:v>
                </c:pt>
                <c:pt idx="11">
                  <c:v>-1356</c:v>
                </c:pt>
                <c:pt idx="12">
                  <c:v>-967</c:v>
                </c:pt>
                <c:pt idx="13">
                  <c:v>-586</c:v>
                </c:pt>
                <c:pt idx="14">
                  <c:v>-565</c:v>
                </c:pt>
                <c:pt idx="15">
                  <c:v>-548</c:v>
                </c:pt>
                <c:pt idx="16">
                  <c:v>-456</c:v>
                </c:pt>
                <c:pt idx="17">
                  <c:v>-99</c:v>
                </c:pt>
                <c:pt idx="18">
                  <c:v>-99</c:v>
                </c:pt>
                <c:pt idx="19">
                  <c:v>0</c:v>
                </c:pt>
                <c:pt idx="20">
                  <c:v>315.5</c:v>
                </c:pt>
                <c:pt idx="21">
                  <c:v>339</c:v>
                </c:pt>
                <c:pt idx="22">
                  <c:v>696</c:v>
                </c:pt>
                <c:pt idx="23">
                  <c:v>791.5</c:v>
                </c:pt>
                <c:pt idx="24">
                  <c:v>887</c:v>
                </c:pt>
                <c:pt idx="25">
                  <c:v>1628</c:v>
                </c:pt>
                <c:pt idx="26">
                  <c:v>3041</c:v>
                </c:pt>
                <c:pt idx="27">
                  <c:v>3434</c:v>
                </c:pt>
                <c:pt idx="28">
                  <c:v>3900</c:v>
                </c:pt>
                <c:pt idx="29">
                  <c:v>4902</c:v>
                </c:pt>
                <c:pt idx="30">
                  <c:v>5346</c:v>
                </c:pt>
                <c:pt idx="31">
                  <c:v>5752</c:v>
                </c:pt>
                <c:pt idx="32">
                  <c:v>6202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08-4FA7-A1F8-F5638C90AB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2">
                    <c:v>3.0000000000000001E-3</c:v>
                  </c:pt>
                  <c:pt idx="5">
                    <c:v>0.02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5.0000000000000001E-4</c:v>
                  </c:pt>
                  <c:pt idx="21">
                    <c:v>4.0000000000000001E-3</c:v>
                  </c:pt>
                  <c:pt idx="22">
                    <c:v>3.0000000000000001E-3</c:v>
                  </c:pt>
                  <c:pt idx="23">
                    <c:v>1.1999999999999999E-3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5.0000000000000001E-4</c:v>
                  </c:pt>
                  <c:pt idx="27">
                    <c:v>8.0000000000000004E-4</c:v>
                  </c:pt>
                  <c:pt idx="28">
                    <c:v>1.6000000000000001E-3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2">
                    <c:v>3.0000000000000001E-3</c:v>
                  </c:pt>
                  <c:pt idx="5">
                    <c:v>0.02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5.0000000000000001E-4</c:v>
                  </c:pt>
                  <c:pt idx="21">
                    <c:v>4.0000000000000001E-3</c:v>
                  </c:pt>
                  <c:pt idx="22">
                    <c:v>3.0000000000000001E-3</c:v>
                  </c:pt>
                  <c:pt idx="23">
                    <c:v>1.1999999999999999E-3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5.0000000000000001E-4</c:v>
                  </c:pt>
                  <c:pt idx="27">
                    <c:v>8.0000000000000004E-4</c:v>
                  </c:pt>
                  <c:pt idx="28">
                    <c:v>1.6000000000000001E-3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-8551</c:v>
                </c:pt>
                <c:pt idx="1">
                  <c:v>-8287</c:v>
                </c:pt>
                <c:pt idx="2">
                  <c:v>-1971.5</c:v>
                </c:pt>
                <c:pt idx="3">
                  <c:v>-1971.5</c:v>
                </c:pt>
                <c:pt idx="4">
                  <c:v>-1949.5</c:v>
                </c:pt>
                <c:pt idx="5">
                  <c:v>-1915</c:v>
                </c:pt>
                <c:pt idx="6">
                  <c:v>-1915</c:v>
                </c:pt>
                <c:pt idx="7">
                  <c:v>-1391.5</c:v>
                </c:pt>
                <c:pt idx="8">
                  <c:v>-1389</c:v>
                </c:pt>
                <c:pt idx="9">
                  <c:v>-1380.5</c:v>
                </c:pt>
                <c:pt idx="10">
                  <c:v>-1373</c:v>
                </c:pt>
                <c:pt idx="11">
                  <c:v>-1356</c:v>
                </c:pt>
                <c:pt idx="12">
                  <c:v>-967</c:v>
                </c:pt>
                <c:pt idx="13">
                  <c:v>-586</c:v>
                </c:pt>
                <c:pt idx="14">
                  <c:v>-565</c:v>
                </c:pt>
                <c:pt idx="15">
                  <c:v>-548</c:v>
                </c:pt>
                <c:pt idx="16">
                  <c:v>-456</c:v>
                </c:pt>
                <c:pt idx="17">
                  <c:v>-99</c:v>
                </c:pt>
                <c:pt idx="18">
                  <c:v>-99</c:v>
                </c:pt>
                <c:pt idx="19">
                  <c:v>0</c:v>
                </c:pt>
                <c:pt idx="20">
                  <c:v>315.5</c:v>
                </c:pt>
                <c:pt idx="21">
                  <c:v>339</c:v>
                </c:pt>
                <c:pt idx="22">
                  <c:v>696</c:v>
                </c:pt>
                <c:pt idx="23">
                  <c:v>791.5</c:v>
                </c:pt>
                <c:pt idx="24">
                  <c:v>887</c:v>
                </c:pt>
                <c:pt idx="25">
                  <c:v>1628</c:v>
                </c:pt>
                <c:pt idx="26">
                  <c:v>3041</c:v>
                </c:pt>
                <c:pt idx="27">
                  <c:v>3434</c:v>
                </c:pt>
                <c:pt idx="28">
                  <c:v>3900</c:v>
                </c:pt>
                <c:pt idx="29">
                  <c:v>4902</c:v>
                </c:pt>
                <c:pt idx="30">
                  <c:v>5346</c:v>
                </c:pt>
                <c:pt idx="31">
                  <c:v>5752</c:v>
                </c:pt>
                <c:pt idx="32">
                  <c:v>6202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08-4FA7-A1F8-F5638C90AB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-8551</c:v>
                </c:pt>
                <c:pt idx="1">
                  <c:v>-8287</c:v>
                </c:pt>
                <c:pt idx="2">
                  <c:v>-1971.5</c:v>
                </c:pt>
                <c:pt idx="3">
                  <c:v>-1971.5</c:v>
                </c:pt>
                <c:pt idx="4">
                  <c:v>-1949.5</c:v>
                </c:pt>
                <c:pt idx="5">
                  <c:v>-1915</c:v>
                </c:pt>
                <c:pt idx="6">
                  <c:v>-1915</c:v>
                </c:pt>
                <c:pt idx="7">
                  <c:v>-1391.5</c:v>
                </c:pt>
                <c:pt idx="8">
                  <c:v>-1389</c:v>
                </c:pt>
                <c:pt idx="9">
                  <c:v>-1380.5</c:v>
                </c:pt>
                <c:pt idx="10">
                  <c:v>-1373</c:v>
                </c:pt>
                <c:pt idx="11">
                  <c:v>-1356</c:v>
                </c:pt>
                <c:pt idx="12">
                  <c:v>-967</c:v>
                </c:pt>
                <c:pt idx="13">
                  <c:v>-586</c:v>
                </c:pt>
                <c:pt idx="14">
                  <c:v>-565</c:v>
                </c:pt>
                <c:pt idx="15">
                  <c:v>-548</c:v>
                </c:pt>
                <c:pt idx="16">
                  <c:v>-456</c:v>
                </c:pt>
                <c:pt idx="17">
                  <c:v>-99</c:v>
                </c:pt>
                <c:pt idx="18">
                  <c:v>-99</c:v>
                </c:pt>
                <c:pt idx="19">
                  <c:v>0</c:v>
                </c:pt>
                <c:pt idx="20">
                  <c:v>315.5</c:v>
                </c:pt>
                <c:pt idx="21">
                  <c:v>339</c:v>
                </c:pt>
                <c:pt idx="22">
                  <c:v>696</c:v>
                </c:pt>
                <c:pt idx="23">
                  <c:v>791.5</c:v>
                </c:pt>
                <c:pt idx="24">
                  <c:v>887</c:v>
                </c:pt>
                <c:pt idx="25">
                  <c:v>1628</c:v>
                </c:pt>
                <c:pt idx="26">
                  <c:v>3041</c:v>
                </c:pt>
                <c:pt idx="27">
                  <c:v>3434</c:v>
                </c:pt>
                <c:pt idx="28">
                  <c:v>3900</c:v>
                </c:pt>
                <c:pt idx="29">
                  <c:v>4902</c:v>
                </c:pt>
                <c:pt idx="30">
                  <c:v>5346</c:v>
                </c:pt>
                <c:pt idx="31">
                  <c:v>5752</c:v>
                </c:pt>
                <c:pt idx="32">
                  <c:v>6202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1.3100805662129155E-3</c:v>
                </c:pt>
                <c:pt idx="1">
                  <c:v>1.3734212149392661E-3</c:v>
                </c:pt>
                <c:pt idx="2">
                  <c:v>2.8886782870274001E-3</c:v>
                </c:pt>
                <c:pt idx="3">
                  <c:v>2.8886782870274001E-3</c:v>
                </c:pt>
                <c:pt idx="4">
                  <c:v>2.8939566744212628E-3</c:v>
                </c:pt>
                <c:pt idx="5">
                  <c:v>2.9022341455616383E-3</c:v>
                </c:pt>
                <c:pt idx="6">
                  <c:v>2.9022341455616383E-3</c:v>
                </c:pt>
                <c:pt idx="7">
                  <c:v>3.0278357728655949E-3</c:v>
                </c:pt>
                <c:pt idx="8">
                  <c:v>3.0284355896148972E-3</c:v>
                </c:pt>
                <c:pt idx="9">
                  <c:v>3.0304749665625262E-3</c:v>
                </c:pt>
                <c:pt idx="10">
                  <c:v>3.032274416810434E-3</c:v>
                </c:pt>
                <c:pt idx="11">
                  <c:v>3.0363531707056912E-3</c:v>
                </c:pt>
                <c:pt idx="12">
                  <c:v>3.1296846568971701E-3</c:v>
                </c:pt>
                <c:pt idx="13">
                  <c:v>3.2210967294908806E-3</c:v>
                </c:pt>
                <c:pt idx="14">
                  <c:v>3.226135190185022E-3</c:v>
                </c:pt>
                <c:pt idx="15">
                  <c:v>3.2302139440802792E-3</c:v>
                </c:pt>
                <c:pt idx="16">
                  <c:v>3.2522872004546138E-3</c:v>
                </c:pt>
                <c:pt idx="17">
                  <c:v>3.3379410322550199E-3</c:v>
                </c:pt>
                <c:pt idx="18">
                  <c:v>3.3379410322550199E-3</c:v>
                </c:pt>
                <c:pt idx="19">
                  <c:v>3.3616937755274012E-3</c:v>
                </c:pt>
                <c:pt idx="20">
                  <c:v>3.4373906492893846E-3</c:v>
                </c:pt>
                <c:pt idx="21">
                  <c:v>3.4430289267328288E-3</c:v>
                </c:pt>
                <c:pt idx="22">
                  <c:v>3.5286827585332345E-3</c:v>
                </c:pt>
                <c:pt idx="23">
                  <c:v>3.5515957583565926E-3</c:v>
                </c:pt>
                <c:pt idx="24">
                  <c:v>3.5745087581799504E-3</c:v>
                </c:pt>
                <c:pt idx="25">
                  <c:v>3.7522944426732299E-3</c:v>
                </c:pt>
                <c:pt idx="26">
                  <c:v>4.0913108693790383E-3</c:v>
                </c:pt>
                <c:pt idx="27">
                  <c:v>4.1856020623694014E-3</c:v>
                </c:pt>
                <c:pt idx="28">
                  <c:v>4.2974079044393989E-3</c:v>
                </c:pt>
                <c:pt idx="29">
                  <c:v>4.5378144575598661E-3</c:v>
                </c:pt>
                <c:pt idx="30">
                  <c:v>4.6443419122360018E-3</c:v>
                </c:pt>
                <c:pt idx="31">
                  <c:v>4.7417521523227379E-3</c:v>
                </c:pt>
                <c:pt idx="32">
                  <c:v>4.8497191671971985E-3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08-4FA7-A1F8-F5638C90A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355024"/>
        <c:axId val="1"/>
      </c:scatterChart>
      <c:valAx>
        <c:axId val="692355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792280566156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70031721494935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355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3057851239669422E-2"/>
          <c:y val="0.92049208572854768"/>
          <c:w val="0.95867855361055065"/>
          <c:h val="6.116226269262359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V1034 Her - O-C Diagr.</a:t>
            </a:r>
          </a:p>
        </c:rich>
      </c:tx>
      <c:layout>
        <c:manualLayout>
          <c:xMode val="edge"/>
          <c:yMode val="edge"/>
          <c:x val="0.32024815079933189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814859468012961"/>
          <c:w val="0.75826522778242411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-8551</c:v>
                </c:pt>
                <c:pt idx="1">
                  <c:v>-8287</c:v>
                </c:pt>
                <c:pt idx="2">
                  <c:v>-1971.5</c:v>
                </c:pt>
                <c:pt idx="3">
                  <c:v>-1915</c:v>
                </c:pt>
                <c:pt idx="4">
                  <c:v>-1391.5</c:v>
                </c:pt>
                <c:pt idx="5">
                  <c:v>-1389</c:v>
                </c:pt>
                <c:pt idx="6">
                  <c:v>-1380.5</c:v>
                </c:pt>
                <c:pt idx="7">
                  <c:v>-1373</c:v>
                </c:pt>
                <c:pt idx="8">
                  <c:v>-1356</c:v>
                </c:pt>
                <c:pt idx="9">
                  <c:v>-967</c:v>
                </c:pt>
                <c:pt idx="10">
                  <c:v>-586</c:v>
                </c:pt>
                <c:pt idx="11">
                  <c:v>-565</c:v>
                </c:pt>
                <c:pt idx="12">
                  <c:v>-548</c:v>
                </c:pt>
                <c:pt idx="13">
                  <c:v>-456</c:v>
                </c:pt>
                <c:pt idx="14">
                  <c:v>-99</c:v>
                </c:pt>
                <c:pt idx="15">
                  <c:v>0</c:v>
                </c:pt>
                <c:pt idx="16">
                  <c:v>315.5</c:v>
                </c:pt>
                <c:pt idx="17">
                  <c:v>339</c:v>
                </c:pt>
              </c:numCache>
            </c:numRef>
          </c:xVal>
          <c:yVal>
            <c:numRef>
              <c:f>'A (old)'!$H$21:$H$992</c:f>
              <c:numCache>
                <c:formatCode>General</c:formatCode>
                <c:ptCount val="972"/>
                <c:pt idx="0">
                  <c:v>-0.25593999999546213</c:v>
                </c:pt>
                <c:pt idx="1">
                  <c:v>-0.24557999999524327</c:v>
                </c:pt>
                <c:pt idx="2">
                  <c:v>-6.9110000004002359E-2</c:v>
                </c:pt>
                <c:pt idx="3">
                  <c:v>-6.3299999994342215E-2</c:v>
                </c:pt>
                <c:pt idx="4">
                  <c:v>-4.2209999999613501E-2</c:v>
                </c:pt>
                <c:pt idx="5">
                  <c:v>-4.0659999998752028E-2</c:v>
                </c:pt>
                <c:pt idx="6">
                  <c:v>-4.1469999996479601E-2</c:v>
                </c:pt>
                <c:pt idx="7">
                  <c:v>-4.1420000001380686E-2</c:v>
                </c:pt>
                <c:pt idx="8">
                  <c:v>-3.9539999997941777E-2</c:v>
                </c:pt>
                <c:pt idx="9">
                  <c:v>-2.7979999998933636E-2</c:v>
                </c:pt>
                <c:pt idx="15">
                  <c:v>0</c:v>
                </c:pt>
                <c:pt idx="16">
                  <c:v>1.0570000005827751E-2</c:v>
                </c:pt>
                <c:pt idx="17">
                  <c:v>1.5659999997296836E-2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BB-4874-837D-1002B3290BA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Locher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(old)'!$D$21:$D$992</c:f>
                <c:numCache>
                  <c:formatCode>General</c:formatCode>
                  <c:ptCount val="972"/>
                  <c:pt idx="2">
                    <c:v>3.0000000000000001E-3</c:v>
                  </c:pt>
                  <c:pt idx="3">
                    <c:v>0.02</c:v>
                  </c:pt>
                  <c:pt idx="15">
                    <c:v>2.9999999999999997E-4</c:v>
                  </c:pt>
                  <c:pt idx="16">
                    <c:v>5.0000000000000001E-4</c:v>
                  </c:pt>
                  <c:pt idx="17">
                    <c:v>4.0000000000000001E-3</c:v>
                  </c:pt>
                </c:numCache>
              </c:numRef>
            </c:plus>
            <c:minus>
              <c:numRef>
                <c:f>'A (old)'!$D$21:$D$992</c:f>
                <c:numCache>
                  <c:formatCode>General</c:formatCode>
                  <c:ptCount val="972"/>
                  <c:pt idx="2">
                    <c:v>3.0000000000000001E-3</c:v>
                  </c:pt>
                  <c:pt idx="3">
                    <c:v>0.02</c:v>
                  </c:pt>
                  <c:pt idx="15">
                    <c:v>2.9999999999999997E-4</c:v>
                  </c:pt>
                  <c:pt idx="16">
                    <c:v>5.0000000000000001E-4</c:v>
                  </c:pt>
                  <c:pt idx="1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-8551</c:v>
                </c:pt>
                <c:pt idx="1">
                  <c:v>-8287</c:v>
                </c:pt>
                <c:pt idx="2">
                  <c:v>-1971.5</c:v>
                </c:pt>
                <c:pt idx="3">
                  <c:v>-1915</c:v>
                </c:pt>
                <c:pt idx="4">
                  <c:v>-1391.5</c:v>
                </c:pt>
                <c:pt idx="5">
                  <c:v>-1389</c:v>
                </c:pt>
                <c:pt idx="6">
                  <c:v>-1380.5</c:v>
                </c:pt>
                <c:pt idx="7">
                  <c:v>-1373</c:v>
                </c:pt>
                <c:pt idx="8">
                  <c:v>-1356</c:v>
                </c:pt>
                <c:pt idx="9">
                  <c:v>-967</c:v>
                </c:pt>
                <c:pt idx="10">
                  <c:v>-586</c:v>
                </c:pt>
                <c:pt idx="11">
                  <c:v>-565</c:v>
                </c:pt>
                <c:pt idx="12">
                  <c:v>-548</c:v>
                </c:pt>
                <c:pt idx="13">
                  <c:v>-456</c:v>
                </c:pt>
                <c:pt idx="14">
                  <c:v>-99</c:v>
                </c:pt>
                <c:pt idx="15">
                  <c:v>0</c:v>
                </c:pt>
                <c:pt idx="16">
                  <c:v>315.5</c:v>
                </c:pt>
                <c:pt idx="17">
                  <c:v>339</c:v>
                </c:pt>
              </c:numCache>
            </c:numRef>
          </c:xVal>
          <c:yVal>
            <c:numRef>
              <c:f>'A (old)'!$I$21:$I$992</c:f>
              <c:numCache>
                <c:formatCode>General</c:formatCode>
                <c:ptCount val="972"/>
                <c:pt idx="10">
                  <c:v>-1.4840000003459863E-2</c:v>
                </c:pt>
                <c:pt idx="11">
                  <c:v>-8.3000000013271347E-3</c:v>
                </c:pt>
                <c:pt idx="12">
                  <c:v>-2.7200000040465966E-3</c:v>
                </c:pt>
                <c:pt idx="13">
                  <c:v>-3.639999995357357E-3</c:v>
                </c:pt>
                <c:pt idx="14">
                  <c:v>3.5400000051595271E-3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BB-4874-837D-1002B3290BA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2">
                    <c:v>3.0000000000000001E-3</c:v>
                  </c:pt>
                  <c:pt idx="3">
                    <c:v>0.02</c:v>
                  </c:pt>
                  <c:pt idx="15">
                    <c:v>2.9999999999999997E-4</c:v>
                  </c:pt>
                  <c:pt idx="16">
                    <c:v>5.0000000000000001E-4</c:v>
                  </c:pt>
                  <c:pt idx="17">
                    <c:v>4.0000000000000001E-3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2">
                    <c:v>3.0000000000000001E-3</c:v>
                  </c:pt>
                  <c:pt idx="3">
                    <c:v>0.02</c:v>
                  </c:pt>
                  <c:pt idx="15">
                    <c:v>2.9999999999999997E-4</c:v>
                  </c:pt>
                  <c:pt idx="16">
                    <c:v>5.0000000000000001E-4</c:v>
                  </c:pt>
                  <c:pt idx="1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-8551</c:v>
                </c:pt>
                <c:pt idx="1">
                  <c:v>-8287</c:v>
                </c:pt>
                <c:pt idx="2">
                  <c:v>-1971.5</c:v>
                </c:pt>
                <c:pt idx="3">
                  <c:v>-1915</c:v>
                </c:pt>
                <c:pt idx="4">
                  <c:v>-1391.5</c:v>
                </c:pt>
                <c:pt idx="5">
                  <c:v>-1389</c:v>
                </c:pt>
                <c:pt idx="6">
                  <c:v>-1380.5</c:v>
                </c:pt>
                <c:pt idx="7">
                  <c:v>-1373</c:v>
                </c:pt>
                <c:pt idx="8">
                  <c:v>-1356</c:v>
                </c:pt>
                <c:pt idx="9">
                  <c:v>-967</c:v>
                </c:pt>
                <c:pt idx="10">
                  <c:v>-586</c:v>
                </c:pt>
                <c:pt idx="11">
                  <c:v>-565</c:v>
                </c:pt>
                <c:pt idx="12">
                  <c:v>-548</c:v>
                </c:pt>
                <c:pt idx="13">
                  <c:v>-456</c:v>
                </c:pt>
                <c:pt idx="14">
                  <c:v>-99</c:v>
                </c:pt>
                <c:pt idx="15">
                  <c:v>0</c:v>
                </c:pt>
                <c:pt idx="16">
                  <c:v>315.5</c:v>
                </c:pt>
                <c:pt idx="17">
                  <c:v>339</c:v>
                </c:pt>
              </c:numCache>
            </c:numRef>
          </c:xVal>
          <c:yVal>
            <c:numRef>
              <c:f>'A (old)'!$J$21:$J$992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BB-4874-837D-1002B3290BA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">
                    <c:v>3.0000000000000001E-3</c:v>
                  </c:pt>
                  <c:pt idx="3">
                    <c:v>0.02</c:v>
                  </c:pt>
                  <c:pt idx="15">
                    <c:v>2.9999999999999997E-4</c:v>
                  </c:pt>
                  <c:pt idx="16">
                    <c:v>5.0000000000000001E-4</c:v>
                  </c:pt>
                  <c:pt idx="17">
                    <c:v>4.0000000000000001E-3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">
                    <c:v>3.0000000000000001E-3</c:v>
                  </c:pt>
                  <c:pt idx="3">
                    <c:v>0.02</c:v>
                  </c:pt>
                  <c:pt idx="15">
                    <c:v>2.9999999999999997E-4</c:v>
                  </c:pt>
                  <c:pt idx="16">
                    <c:v>5.0000000000000001E-4</c:v>
                  </c:pt>
                  <c:pt idx="1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-8551</c:v>
                </c:pt>
                <c:pt idx="1">
                  <c:v>-8287</c:v>
                </c:pt>
                <c:pt idx="2">
                  <c:v>-1971.5</c:v>
                </c:pt>
                <c:pt idx="3">
                  <c:v>-1915</c:v>
                </c:pt>
                <c:pt idx="4">
                  <c:v>-1391.5</c:v>
                </c:pt>
                <c:pt idx="5">
                  <c:v>-1389</c:v>
                </c:pt>
                <c:pt idx="6">
                  <c:v>-1380.5</c:v>
                </c:pt>
                <c:pt idx="7">
                  <c:v>-1373</c:v>
                </c:pt>
                <c:pt idx="8">
                  <c:v>-1356</c:v>
                </c:pt>
                <c:pt idx="9">
                  <c:v>-967</c:v>
                </c:pt>
                <c:pt idx="10">
                  <c:v>-586</c:v>
                </c:pt>
                <c:pt idx="11">
                  <c:v>-565</c:v>
                </c:pt>
                <c:pt idx="12">
                  <c:v>-548</c:v>
                </c:pt>
                <c:pt idx="13">
                  <c:v>-456</c:v>
                </c:pt>
                <c:pt idx="14">
                  <c:v>-99</c:v>
                </c:pt>
                <c:pt idx="15">
                  <c:v>0</c:v>
                </c:pt>
                <c:pt idx="16">
                  <c:v>315.5</c:v>
                </c:pt>
                <c:pt idx="17">
                  <c:v>339</c:v>
                </c:pt>
              </c:numCache>
            </c:numRef>
          </c:xVal>
          <c:yVal>
            <c:numRef>
              <c:f>'A (old)'!$K$21:$K$992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BB-4874-837D-1002B3290BA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">
                    <c:v>3.0000000000000001E-3</c:v>
                  </c:pt>
                  <c:pt idx="3">
                    <c:v>0.02</c:v>
                  </c:pt>
                  <c:pt idx="15">
                    <c:v>2.9999999999999997E-4</c:v>
                  </c:pt>
                  <c:pt idx="16">
                    <c:v>5.0000000000000001E-4</c:v>
                  </c:pt>
                  <c:pt idx="17">
                    <c:v>4.0000000000000001E-3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">
                    <c:v>3.0000000000000001E-3</c:v>
                  </c:pt>
                  <c:pt idx="3">
                    <c:v>0.02</c:v>
                  </c:pt>
                  <c:pt idx="15">
                    <c:v>2.9999999999999997E-4</c:v>
                  </c:pt>
                  <c:pt idx="16">
                    <c:v>5.0000000000000001E-4</c:v>
                  </c:pt>
                  <c:pt idx="1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-8551</c:v>
                </c:pt>
                <c:pt idx="1">
                  <c:v>-8287</c:v>
                </c:pt>
                <c:pt idx="2">
                  <c:v>-1971.5</c:v>
                </c:pt>
                <c:pt idx="3">
                  <c:v>-1915</c:v>
                </c:pt>
                <c:pt idx="4">
                  <c:v>-1391.5</c:v>
                </c:pt>
                <c:pt idx="5">
                  <c:v>-1389</c:v>
                </c:pt>
                <c:pt idx="6">
                  <c:v>-1380.5</c:v>
                </c:pt>
                <c:pt idx="7">
                  <c:v>-1373</c:v>
                </c:pt>
                <c:pt idx="8">
                  <c:v>-1356</c:v>
                </c:pt>
                <c:pt idx="9">
                  <c:v>-967</c:v>
                </c:pt>
                <c:pt idx="10">
                  <c:v>-586</c:v>
                </c:pt>
                <c:pt idx="11">
                  <c:v>-565</c:v>
                </c:pt>
                <c:pt idx="12">
                  <c:v>-548</c:v>
                </c:pt>
                <c:pt idx="13">
                  <c:v>-456</c:v>
                </c:pt>
                <c:pt idx="14">
                  <c:v>-99</c:v>
                </c:pt>
                <c:pt idx="15">
                  <c:v>0</c:v>
                </c:pt>
                <c:pt idx="16">
                  <c:v>315.5</c:v>
                </c:pt>
                <c:pt idx="17">
                  <c:v>339</c:v>
                </c:pt>
              </c:numCache>
            </c:numRef>
          </c:xVal>
          <c:yVal>
            <c:numRef>
              <c:f>'A (old)'!$L$21:$L$992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BB-4874-837D-1002B3290BA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">
                    <c:v>3.0000000000000001E-3</c:v>
                  </c:pt>
                  <c:pt idx="3">
                    <c:v>0.02</c:v>
                  </c:pt>
                  <c:pt idx="15">
                    <c:v>2.9999999999999997E-4</c:v>
                  </c:pt>
                  <c:pt idx="16">
                    <c:v>5.0000000000000001E-4</c:v>
                  </c:pt>
                  <c:pt idx="17">
                    <c:v>4.0000000000000001E-3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">
                    <c:v>3.0000000000000001E-3</c:v>
                  </c:pt>
                  <c:pt idx="3">
                    <c:v>0.02</c:v>
                  </c:pt>
                  <c:pt idx="15">
                    <c:v>2.9999999999999997E-4</c:v>
                  </c:pt>
                  <c:pt idx="16">
                    <c:v>5.0000000000000001E-4</c:v>
                  </c:pt>
                  <c:pt idx="1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-8551</c:v>
                </c:pt>
                <c:pt idx="1">
                  <c:v>-8287</c:v>
                </c:pt>
                <c:pt idx="2">
                  <c:v>-1971.5</c:v>
                </c:pt>
                <c:pt idx="3">
                  <c:v>-1915</c:v>
                </c:pt>
                <c:pt idx="4">
                  <c:v>-1391.5</c:v>
                </c:pt>
                <c:pt idx="5">
                  <c:v>-1389</c:v>
                </c:pt>
                <c:pt idx="6">
                  <c:v>-1380.5</c:v>
                </c:pt>
                <c:pt idx="7">
                  <c:v>-1373</c:v>
                </c:pt>
                <c:pt idx="8">
                  <c:v>-1356</c:v>
                </c:pt>
                <c:pt idx="9">
                  <c:v>-967</c:v>
                </c:pt>
                <c:pt idx="10">
                  <c:v>-586</c:v>
                </c:pt>
                <c:pt idx="11">
                  <c:v>-565</c:v>
                </c:pt>
                <c:pt idx="12">
                  <c:v>-548</c:v>
                </c:pt>
                <c:pt idx="13">
                  <c:v>-456</c:v>
                </c:pt>
                <c:pt idx="14">
                  <c:v>-99</c:v>
                </c:pt>
                <c:pt idx="15">
                  <c:v>0</c:v>
                </c:pt>
                <c:pt idx="16">
                  <c:v>315.5</c:v>
                </c:pt>
                <c:pt idx="17">
                  <c:v>339</c:v>
                </c:pt>
              </c:numCache>
            </c:numRef>
          </c:xVal>
          <c:yVal>
            <c:numRef>
              <c:f>'A (old)'!$M$21:$M$992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BB-4874-837D-1002B3290BA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">
                    <c:v>3.0000000000000001E-3</c:v>
                  </c:pt>
                  <c:pt idx="3">
                    <c:v>0.02</c:v>
                  </c:pt>
                  <c:pt idx="15">
                    <c:v>2.9999999999999997E-4</c:v>
                  </c:pt>
                  <c:pt idx="16">
                    <c:v>5.0000000000000001E-4</c:v>
                  </c:pt>
                  <c:pt idx="17">
                    <c:v>4.0000000000000001E-3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">
                    <c:v>3.0000000000000001E-3</c:v>
                  </c:pt>
                  <c:pt idx="3">
                    <c:v>0.02</c:v>
                  </c:pt>
                  <c:pt idx="15">
                    <c:v>2.9999999999999997E-4</c:v>
                  </c:pt>
                  <c:pt idx="16">
                    <c:v>5.0000000000000001E-4</c:v>
                  </c:pt>
                  <c:pt idx="1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-8551</c:v>
                </c:pt>
                <c:pt idx="1">
                  <c:v>-8287</c:v>
                </c:pt>
                <c:pt idx="2">
                  <c:v>-1971.5</c:v>
                </c:pt>
                <c:pt idx="3">
                  <c:v>-1915</c:v>
                </c:pt>
                <c:pt idx="4">
                  <c:v>-1391.5</c:v>
                </c:pt>
                <c:pt idx="5">
                  <c:v>-1389</c:v>
                </c:pt>
                <c:pt idx="6">
                  <c:v>-1380.5</c:v>
                </c:pt>
                <c:pt idx="7">
                  <c:v>-1373</c:v>
                </c:pt>
                <c:pt idx="8">
                  <c:v>-1356</c:v>
                </c:pt>
                <c:pt idx="9">
                  <c:v>-967</c:v>
                </c:pt>
                <c:pt idx="10">
                  <c:v>-586</c:v>
                </c:pt>
                <c:pt idx="11">
                  <c:v>-565</c:v>
                </c:pt>
                <c:pt idx="12">
                  <c:v>-548</c:v>
                </c:pt>
                <c:pt idx="13">
                  <c:v>-456</c:v>
                </c:pt>
                <c:pt idx="14">
                  <c:v>-99</c:v>
                </c:pt>
                <c:pt idx="15">
                  <c:v>0</c:v>
                </c:pt>
                <c:pt idx="16">
                  <c:v>315.5</c:v>
                </c:pt>
                <c:pt idx="17">
                  <c:v>339</c:v>
                </c:pt>
              </c:numCache>
            </c:numRef>
          </c:xVal>
          <c:yVal>
            <c:numRef>
              <c:f>'A (old)'!$N$21:$N$992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BB-4874-837D-1002B3290BA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-8551</c:v>
                </c:pt>
                <c:pt idx="1">
                  <c:v>-8287</c:v>
                </c:pt>
                <c:pt idx="2">
                  <c:v>-1971.5</c:v>
                </c:pt>
                <c:pt idx="3">
                  <c:v>-1915</c:v>
                </c:pt>
                <c:pt idx="4">
                  <c:v>-1391.5</c:v>
                </c:pt>
                <c:pt idx="5">
                  <c:v>-1389</c:v>
                </c:pt>
                <c:pt idx="6">
                  <c:v>-1380.5</c:v>
                </c:pt>
                <c:pt idx="7">
                  <c:v>-1373</c:v>
                </c:pt>
                <c:pt idx="8">
                  <c:v>-1356</c:v>
                </c:pt>
                <c:pt idx="9">
                  <c:v>-967</c:v>
                </c:pt>
                <c:pt idx="10">
                  <c:v>-586</c:v>
                </c:pt>
                <c:pt idx="11">
                  <c:v>-565</c:v>
                </c:pt>
                <c:pt idx="12">
                  <c:v>-548</c:v>
                </c:pt>
                <c:pt idx="13">
                  <c:v>-456</c:v>
                </c:pt>
                <c:pt idx="14">
                  <c:v>-99</c:v>
                </c:pt>
                <c:pt idx="15">
                  <c:v>0</c:v>
                </c:pt>
                <c:pt idx="16">
                  <c:v>315.5</c:v>
                </c:pt>
                <c:pt idx="17">
                  <c:v>339</c:v>
                </c:pt>
              </c:numCache>
            </c:numRef>
          </c:xVal>
          <c:yVal>
            <c:numRef>
              <c:f>'A (old)'!$O$21:$O$992</c:f>
              <c:numCache>
                <c:formatCode>General</c:formatCode>
                <c:ptCount val="972"/>
                <c:pt idx="0">
                  <c:v>-0.25720811011542999</c:v>
                </c:pt>
                <c:pt idx="1">
                  <c:v>-0.24917994732439486</c:v>
                </c:pt>
                <c:pt idx="2">
                  <c:v>-5.7127439344158218E-2</c:v>
                </c:pt>
                <c:pt idx="3">
                  <c:v>-5.540929086804653E-2</c:v>
                </c:pt>
                <c:pt idx="4">
                  <c:v>-3.9489808969914338E-2</c:v>
                </c:pt>
                <c:pt idx="5">
                  <c:v>-3.9413784701059836E-2</c:v>
                </c:pt>
                <c:pt idx="6">
                  <c:v>-3.9155302186954538E-2</c:v>
                </c:pt>
                <c:pt idx="7">
                  <c:v>-3.8927229380391039E-2</c:v>
                </c:pt>
                <c:pt idx="8">
                  <c:v>-3.8410264352180444E-2</c:v>
                </c:pt>
                <c:pt idx="9">
                  <c:v>-2.6580888118420319E-2</c:v>
                </c:pt>
                <c:pt idx="10">
                  <c:v>-1.4994789544994599E-2</c:v>
                </c:pt>
                <c:pt idx="11">
                  <c:v>-1.4356185686616802E-2</c:v>
                </c:pt>
                <c:pt idx="12">
                  <c:v>-1.3839220658406207E-2</c:v>
                </c:pt>
                <c:pt idx="13">
                  <c:v>-1.1041527564560625E-2</c:v>
                </c:pt>
                <c:pt idx="14">
                  <c:v>-1.8526197213809695E-4</c:v>
                </c:pt>
                <c:pt idx="15">
                  <c:v>2.8252990745000831E-3</c:v>
                </c:pt>
                <c:pt idx="16">
                  <c:v>1.2419561803937919E-2</c:v>
                </c:pt>
                <c:pt idx="17">
                  <c:v>1.3134189931170215E-2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BB-4874-837D-1002B3290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772032"/>
        <c:axId val="1"/>
      </c:scatterChart>
      <c:valAx>
        <c:axId val="697772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772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6446280991735532E-2"/>
          <c:y val="0.91975600272188196"/>
          <c:w val="0.99173640485022019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1104899</xdr:colOff>
      <xdr:row>0</xdr:row>
      <xdr:rowOff>0</xdr:rowOff>
    </xdr:from>
    <xdr:to>
      <xdr:col>19</xdr:col>
      <xdr:colOff>180974</xdr:colOff>
      <xdr:row>19</xdr:row>
      <xdr:rowOff>0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9D07CA5D-41CB-501D-839F-2A9E3338A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977588E-B9E5-B9AA-7C41-BE75DF31A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231" TargetMode="External"/><Relationship Id="rId13" Type="http://schemas.openxmlformats.org/officeDocument/2006/relationships/hyperlink" Target="http://www.konkoly.hu/cgi-bin/IBVS?5662" TargetMode="External"/><Relationship Id="rId3" Type="http://schemas.openxmlformats.org/officeDocument/2006/relationships/hyperlink" Target="http://www.konkoly.hu/cgi-bin/IBVS?5231" TargetMode="External"/><Relationship Id="rId7" Type="http://schemas.openxmlformats.org/officeDocument/2006/relationships/hyperlink" Target="http://www.konkoly.hu/cgi-bin/IBVS?5231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5231" TargetMode="External"/><Relationship Id="rId16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5231" TargetMode="External"/><Relationship Id="rId6" Type="http://schemas.openxmlformats.org/officeDocument/2006/relationships/hyperlink" Target="http://www.konkoly.hu/cgi-bin/IBVS?5231" TargetMode="External"/><Relationship Id="rId11" Type="http://schemas.openxmlformats.org/officeDocument/2006/relationships/hyperlink" Target="http://var.astro.cz/oejv/issues/oejv0003.pdf" TargetMode="External"/><Relationship Id="rId5" Type="http://schemas.openxmlformats.org/officeDocument/2006/relationships/hyperlink" Target="http://www.konkoly.hu/cgi-bin/IBVS?5231" TargetMode="External"/><Relationship Id="rId15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konkoly.hu/cgi-bin/IBVS?5592" TargetMode="External"/><Relationship Id="rId4" Type="http://schemas.openxmlformats.org/officeDocument/2006/relationships/hyperlink" Target="http://www.konkoly.hu/cgi-bin/IBVS?5231" TargetMode="External"/><Relationship Id="rId9" Type="http://schemas.openxmlformats.org/officeDocument/2006/relationships/hyperlink" Target="http://www.konkoly.hu/cgi-bin/IBVS?5592" TargetMode="External"/><Relationship Id="rId14" Type="http://schemas.openxmlformats.org/officeDocument/2006/relationships/hyperlink" Target="http://www.bav-astro.de/sfs/BAVM_link.php?BAVMnr=1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55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1.7109375" customWidth="1"/>
    <col min="5" max="5" width="9.57031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26" t="s">
        <v>47</v>
      </c>
      <c r="B1" s="24"/>
      <c r="C1" s="24"/>
      <c r="D1" s="24"/>
      <c r="E1" s="24"/>
      <c r="F1" s="24"/>
    </row>
    <row r="2" spans="1:6">
      <c r="A2" s="25" t="s">
        <v>26</v>
      </c>
      <c r="B2" s="42" t="s">
        <v>42</v>
      </c>
      <c r="C2" s="24"/>
      <c r="D2" s="24"/>
      <c r="E2" s="24"/>
      <c r="F2" s="24"/>
    </row>
    <row r="3" spans="1:6" ht="13.5" thickBot="1"/>
    <row r="4" spans="1:6" ht="14.25" thickTop="1" thickBot="1">
      <c r="A4" s="7" t="s">
        <v>0</v>
      </c>
      <c r="C4" s="27" t="s">
        <v>13</v>
      </c>
      <c r="D4" s="28" t="s">
        <v>13</v>
      </c>
    </row>
    <row r="5" spans="1:6" ht="13.5" thickTop="1">
      <c r="A5" s="49" t="s">
        <v>49</v>
      </c>
      <c r="B5" s="25"/>
      <c r="C5" s="50">
        <v>-9.5</v>
      </c>
      <c r="D5" s="25" t="s">
        <v>50</v>
      </c>
    </row>
    <row r="6" spans="1:6">
      <c r="A6" s="7" t="s">
        <v>1</v>
      </c>
    </row>
    <row r="7" spans="1:6">
      <c r="A7" t="s">
        <v>2</v>
      </c>
      <c r="C7" s="29">
        <v>52873.196199999998</v>
      </c>
      <c r="D7" s="43" t="s">
        <v>44</v>
      </c>
    </row>
    <row r="8" spans="1:6">
      <c r="A8" t="s">
        <v>3</v>
      </c>
      <c r="C8" s="33">
        <v>0.81529040970754174</v>
      </c>
      <c r="D8" s="33">
        <v>0.81528980500000003</v>
      </c>
    </row>
    <row r="9" spans="1:6">
      <c r="A9" s="62" t="s">
        <v>55</v>
      </c>
      <c r="B9" s="63">
        <v>21</v>
      </c>
      <c r="C9" s="61" t="str">
        <f>"F"&amp;B9</f>
        <v>F21</v>
      </c>
      <c r="D9" s="34" t="str">
        <f>"G"&amp;B9</f>
        <v>G21</v>
      </c>
    </row>
    <row r="10" spans="1:6" ht="13.5" thickBot="1">
      <c r="A10" s="25"/>
      <c r="B10" s="25"/>
      <c r="C10" s="6" t="s">
        <v>21</v>
      </c>
      <c r="D10" s="6" t="s">
        <v>22</v>
      </c>
      <c r="E10" s="25"/>
    </row>
    <row r="11" spans="1:6">
      <c r="A11" s="25" t="s">
        <v>15</v>
      </c>
      <c r="B11" s="25"/>
      <c r="C11" s="60">
        <f ca="1">INTERCEPT(INDIRECT($D$9):G989,INDIRECT($C$9):F989)</f>
        <v>3.3616937755274012E-3</v>
      </c>
      <c r="D11" s="5"/>
      <c r="E11" s="25"/>
    </row>
    <row r="12" spans="1:6">
      <c r="A12" s="25" t="s">
        <v>16</v>
      </c>
      <c r="B12" s="25"/>
      <c r="C12" s="60">
        <f ca="1">SLOPE(INDIRECT($D$9):G989,INDIRECT($C$9):F989)</f>
        <v>2.3992669972102509E-7</v>
      </c>
      <c r="D12" s="5"/>
      <c r="E12" s="25"/>
    </row>
    <row r="13" spans="1:6">
      <c r="A13" s="25" t="s">
        <v>20</v>
      </c>
      <c r="B13" s="25"/>
      <c r="C13" s="5" t="s">
        <v>13</v>
      </c>
    </row>
    <row r="14" spans="1:6">
      <c r="A14" s="25"/>
      <c r="B14" s="25"/>
      <c r="C14" s="25"/>
    </row>
    <row r="15" spans="1:6">
      <c r="A15" s="51" t="s">
        <v>17</v>
      </c>
      <c r="B15" s="25"/>
      <c r="C15" s="52">
        <f ca="1">(C7+C11)+(C8+C12)*INT(MAX(F21:F3530))</f>
        <v>57929.632170725337</v>
      </c>
      <c r="E15" s="53" t="s">
        <v>56</v>
      </c>
      <c r="F15" s="50">
        <v>1</v>
      </c>
    </row>
    <row r="16" spans="1:6">
      <c r="A16" s="55" t="s">
        <v>4</v>
      </c>
      <c r="B16" s="25"/>
      <c r="C16" s="56">
        <f ca="1">+C8+C12</f>
        <v>0.81529064963424147</v>
      </c>
      <c r="E16" s="53" t="s">
        <v>51</v>
      </c>
      <c r="F16" s="54">
        <f ca="1">NOW()+15018.5+$C$5/24</f>
        <v>60354.741287847217</v>
      </c>
    </row>
    <row r="17" spans="1:18" ht="13.5" thickBot="1">
      <c r="A17" s="53" t="s">
        <v>45</v>
      </c>
      <c r="B17" s="25"/>
      <c r="C17" s="25">
        <f>COUNT(C21:C2188)</f>
        <v>33</v>
      </c>
      <c r="E17" s="53" t="s">
        <v>57</v>
      </c>
      <c r="F17" s="54">
        <f ca="1">ROUND(2*(F16-$C$7)/$C$8,0)/2+F15</f>
        <v>9177.5</v>
      </c>
    </row>
    <row r="18" spans="1:18" ht="14.25" thickTop="1" thickBot="1">
      <c r="A18" s="55" t="s">
        <v>5</v>
      </c>
      <c r="B18" s="25"/>
      <c r="C18" s="58">
        <f ca="1">+C15</f>
        <v>57929.632170725337</v>
      </c>
      <c r="D18" s="59">
        <f ca="1">+C16</f>
        <v>0.81529064963424147</v>
      </c>
      <c r="E18" s="53" t="s">
        <v>52</v>
      </c>
      <c r="F18" s="34">
        <f ca="1">ROUND(2*(F16-$C$15)/$C$16,0)/2+F15</f>
        <v>2975.5</v>
      </c>
    </row>
    <row r="19" spans="1:18" ht="13.5" thickTop="1">
      <c r="E19" s="53" t="s">
        <v>53</v>
      </c>
      <c r="F19" s="57">
        <f ca="1">+$C$15+$C$16*F18-15018.5-$C$5/24</f>
        <v>45337.425332045357</v>
      </c>
    </row>
    <row r="20" spans="1:18" ht="13.5" thickBot="1">
      <c r="A20" s="6" t="s">
        <v>6</v>
      </c>
      <c r="B20" s="6" t="s">
        <v>7</v>
      </c>
      <c r="C20" s="6" t="s">
        <v>8</v>
      </c>
      <c r="D20" s="6" t="s">
        <v>12</v>
      </c>
      <c r="E20" s="6" t="s">
        <v>9</v>
      </c>
      <c r="F20" s="6" t="s">
        <v>10</v>
      </c>
      <c r="G20" s="6" t="s">
        <v>11</v>
      </c>
      <c r="H20" s="9" t="s">
        <v>69</v>
      </c>
      <c r="I20" s="9" t="s">
        <v>72</v>
      </c>
      <c r="J20" s="9" t="s">
        <v>66</v>
      </c>
      <c r="K20" s="9" t="s">
        <v>64</v>
      </c>
      <c r="L20" s="9" t="s">
        <v>172</v>
      </c>
      <c r="M20" s="9" t="s">
        <v>173</v>
      </c>
      <c r="N20" s="9" t="s">
        <v>174</v>
      </c>
      <c r="O20" s="9" t="s">
        <v>24</v>
      </c>
      <c r="P20" s="8" t="s">
        <v>23</v>
      </c>
      <c r="Q20" s="6" t="s">
        <v>14</v>
      </c>
    </row>
    <row r="21" spans="1:18">
      <c r="A21" t="s">
        <v>32</v>
      </c>
      <c r="B21" s="5"/>
      <c r="C21" s="38">
        <v>45901.652000000002</v>
      </c>
      <c r="D21" s="10"/>
      <c r="E21">
        <f t="shared" ref="E21:E53" si="0">+(C21-C$7)/C$8</f>
        <v>-8550.9949792010993</v>
      </c>
      <c r="F21">
        <f t="shared" ref="F21:F53" si="1">ROUND(2*E21,0)/2</f>
        <v>-8551</v>
      </c>
      <c r="G21">
        <f t="shared" ref="G21:G53" si="2">C21-($C$7+$C$8*$F21)</f>
        <v>4.0934091957751662E-3</v>
      </c>
      <c r="K21">
        <f>G21</f>
        <v>4.0934091957751662E-3</v>
      </c>
      <c r="O21">
        <f t="shared" ref="O21:O53" ca="1" si="3">+C$11+C$12*$F21</f>
        <v>1.3100805662129155E-3</v>
      </c>
      <c r="Q21" s="1">
        <f t="shared" ref="Q21:Q53" si="4">+C21-15018.5</f>
        <v>30883.152000000002</v>
      </c>
      <c r="R21" t="s">
        <v>64</v>
      </c>
    </row>
    <row r="22" spans="1:18">
      <c r="A22" t="s">
        <v>32</v>
      </c>
      <c r="B22" s="5"/>
      <c r="C22" s="38">
        <v>46116.891000000003</v>
      </c>
      <c r="D22" s="10"/>
      <c r="E22">
        <f t="shared" si="0"/>
        <v>-8286.9921190703008</v>
      </c>
      <c r="F22">
        <f t="shared" si="1"/>
        <v>-8287</v>
      </c>
      <c r="G22">
        <f t="shared" si="2"/>
        <v>6.4252464071614668E-3</v>
      </c>
      <c r="K22">
        <f>G22</f>
        <v>6.4252464071614668E-3</v>
      </c>
      <c r="O22">
        <f t="shared" ca="1" si="3"/>
        <v>1.3734212149392661E-3</v>
      </c>
      <c r="Q22" s="1">
        <f t="shared" si="4"/>
        <v>31098.391000000003</v>
      </c>
      <c r="R22" t="s">
        <v>64</v>
      </c>
    </row>
    <row r="23" spans="1:18">
      <c r="A23" t="s">
        <v>33</v>
      </c>
      <c r="B23" s="5" t="s">
        <v>34</v>
      </c>
      <c r="C23" s="39">
        <v>51265.841999999997</v>
      </c>
      <c r="D23" s="32">
        <v>3.0000000000000001E-3</v>
      </c>
      <c r="E23">
        <f t="shared" si="0"/>
        <v>-1971.5112319015091</v>
      </c>
      <c r="F23">
        <f t="shared" si="1"/>
        <v>-1971.5</v>
      </c>
      <c r="G23">
        <f t="shared" si="2"/>
        <v>-9.157261585642118E-3</v>
      </c>
      <c r="I23">
        <f>+G23</f>
        <v>-9.157261585642118E-3</v>
      </c>
      <c r="O23">
        <f t="shared" ca="1" si="3"/>
        <v>2.8886782870274001E-3</v>
      </c>
      <c r="Q23" s="1">
        <f t="shared" si="4"/>
        <v>36247.341999999997</v>
      </c>
      <c r="R23" t="s">
        <v>72</v>
      </c>
    </row>
    <row r="24" spans="1:18">
      <c r="A24" s="45" t="s">
        <v>41</v>
      </c>
      <c r="B24" s="46" t="s">
        <v>34</v>
      </c>
      <c r="C24" s="39">
        <v>51265.847873999999</v>
      </c>
      <c r="D24" s="47"/>
      <c r="E24">
        <f t="shared" si="0"/>
        <v>-1971.5040271068342</v>
      </c>
      <c r="F24">
        <f t="shared" si="1"/>
        <v>-1971.5</v>
      </c>
      <c r="G24">
        <f t="shared" si="2"/>
        <v>-3.2832615834195167E-3</v>
      </c>
      <c r="J24">
        <f>+G24</f>
        <v>-3.2832615834195167E-3</v>
      </c>
      <c r="O24">
        <f t="shared" ca="1" si="3"/>
        <v>2.8886782870274001E-3</v>
      </c>
      <c r="Q24" s="1">
        <f t="shared" si="4"/>
        <v>36247.347873999999</v>
      </c>
      <c r="R24" s="87" t="s">
        <v>66</v>
      </c>
    </row>
    <row r="25" spans="1:18">
      <c r="A25" s="45" t="s">
        <v>41</v>
      </c>
      <c r="B25" s="46" t="s">
        <v>34</v>
      </c>
      <c r="C25" s="39">
        <v>51283.796082000001</v>
      </c>
      <c r="D25" s="48"/>
      <c r="E25">
        <f t="shared" si="0"/>
        <v>-1949.4895304485945</v>
      </c>
      <c r="F25">
        <f t="shared" si="1"/>
        <v>-1949.5</v>
      </c>
      <c r="G25">
        <f t="shared" si="2"/>
        <v>8.5357248535729013E-3</v>
      </c>
      <c r="J25">
        <f>+G25</f>
        <v>8.5357248535729013E-3</v>
      </c>
      <c r="O25">
        <f t="shared" ca="1" si="3"/>
        <v>2.8939566744212628E-3</v>
      </c>
      <c r="Q25" s="1">
        <f t="shared" si="4"/>
        <v>36265.296082000001</v>
      </c>
      <c r="R25" s="87" t="s">
        <v>66</v>
      </c>
    </row>
    <row r="26" spans="1:18">
      <c r="A26" s="45" t="s">
        <v>33</v>
      </c>
      <c r="B26" s="46"/>
      <c r="C26" s="39">
        <v>51311.91</v>
      </c>
      <c r="D26" s="39">
        <v>0.02</v>
      </c>
      <c r="E26">
        <f t="shared" si="0"/>
        <v>-1915.0062130131696</v>
      </c>
      <c r="F26">
        <f t="shared" si="1"/>
        <v>-1915</v>
      </c>
      <c r="G26">
        <f t="shared" si="2"/>
        <v>-5.0654100559768267E-3</v>
      </c>
      <c r="I26">
        <f>+G26</f>
        <v>-5.0654100559768267E-3</v>
      </c>
      <c r="O26">
        <f t="shared" ca="1" si="3"/>
        <v>2.9022341455616383E-3</v>
      </c>
      <c r="Q26" s="1">
        <f t="shared" si="4"/>
        <v>36293.410000000003</v>
      </c>
      <c r="R26" t="s">
        <v>72</v>
      </c>
    </row>
    <row r="27" spans="1:18">
      <c r="A27" s="45" t="s">
        <v>41</v>
      </c>
      <c r="B27" s="46" t="s">
        <v>35</v>
      </c>
      <c r="C27" s="39">
        <v>51311.913196000001</v>
      </c>
      <c r="D27" s="47"/>
      <c r="E27">
        <f t="shared" si="0"/>
        <v>-1915.0022929376237</v>
      </c>
      <c r="F27">
        <f t="shared" si="1"/>
        <v>-1915</v>
      </c>
      <c r="G27">
        <f t="shared" si="2"/>
        <v>-1.8694100581342354E-3</v>
      </c>
      <c r="J27">
        <f>+G27</f>
        <v>-1.8694100581342354E-3</v>
      </c>
      <c r="O27">
        <f t="shared" ca="1" si="3"/>
        <v>2.9022341455616383E-3</v>
      </c>
      <c r="Q27" s="1">
        <f t="shared" si="4"/>
        <v>36293.413196000001</v>
      </c>
      <c r="R27" s="87" t="s">
        <v>175</v>
      </c>
    </row>
    <row r="28" spans="1:18">
      <c r="A28" t="s">
        <v>32</v>
      </c>
      <c r="B28" s="5" t="s">
        <v>34</v>
      </c>
      <c r="C28" s="38">
        <v>51738.719700000001</v>
      </c>
      <c r="D28" s="10"/>
      <c r="E28">
        <f t="shared" si="0"/>
        <v>-1391.4998710790094</v>
      </c>
      <c r="F28">
        <f t="shared" si="1"/>
        <v>-1391.5</v>
      </c>
      <c r="G28">
        <f t="shared" si="2"/>
        <v>1.0510804713703692E-4</v>
      </c>
      <c r="K28">
        <f t="shared" ref="K28:K33" si="5">G28</f>
        <v>1.0510804713703692E-4</v>
      </c>
      <c r="O28">
        <f t="shared" ca="1" si="3"/>
        <v>3.0278357728655949E-3</v>
      </c>
      <c r="Q28" s="1">
        <f t="shared" si="4"/>
        <v>36720.219700000001</v>
      </c>
      <c r="R28" t="s">
        <v>64</v>
      </c>
    </row>
    <row r="29" spans="1:18">
      <c r="A29" t="s">
        <v>32</v>
      </c>
      <c r="B29" s="5"/>
      <c r="C29" s="38">
        <v>51740.759400000003</v>
      </c>
      <c r="D29" s="10"/>
      <c r="E29">
        <f t="shared" si="0"/>
        <v>-1388.9980631640447</v>
      </c>
      <c r="F29">
        <f t="shared" si="1"/>
        <v>-1389</v>
      </c>
      <c r="G29">
        <f t="shared" si="2"/>
        <v>1.5790837787790224E-3</v>
      </c>
      <c r="K29">
        <f t="shared" si="5"/>
        <v>1.5790837787790224E-3</v>
      </c>
      <c r="O29">
        <f t="shared" ca="1" si="3"/>
        <v>3.0284355896148972E-3</v>
      </c>
      <c r="Q29" s="1">
        <f t="shared" si="4"/>
        <v>36722.259400000003</v>
      </c>
      <c r="R29" t="s">
        <v>64</v>
      </c>
    </row>
    <row r="30" spans="1:18">
      <c r="A30" t="s">
        <v>32</v>
      </c>
      <c r="B30" s="5" t="s">
        <v>34</v>
      </c>
      <c r="C30" s="38">
        <v>51747.688300000002</v>
      </c>
      <c r="D30" s="10"/>
      <c r="E30">
        <f t="shared" si="0"/>
        <v>-1380.4993737185443</v>
      </c>
      <c r="F30">
        <f t="shared" si="1"/>
        <v>-1380.5</v>
      </c>
      <c r="G30">
        <f t="shared" si="2"/>
        <v>5.1060126133961603E-4</v>
      </c>
      <c r="K30">
        <f t="shared" si="5"/>
        <v>5.1060126133961603E-4</v>
      </c>
      <c r="O30">
        <f t="shared" ca="1" si="3"/>
        <v>3.0304749665625262E-3</v>
      </c>
      <c r="Q30" s="1">
        <f t="shared" si="4"/>
        <v>36729.188300000002</v>
      </c>
      <c r="R30" t="s">
        <v>64</v>
      </c>
    </row>
    <row r="31" spans="1:18">
      <c r="A31" t="s">
        <v>32</v>
      </c>
      <c r="B31" s="5"/>
      <c r="C31" s="38">
        <v>51753.802799999998</v>
      </c>
      <c r="D31" s="10"/>
      <c r="E31">
        <f t="shared" si="0"/>
        <v>-1372.9995921349619</v>
      </c>
      <c r="F31">
        <f t="shared" si="1"/>
        <v>-1373</v>
      </c>
      <c r="G31">
        <f t="shared" si="2"/>
        <v>3.3252845605602488E-4</v>
      </c>
      <c r="K31">
        <f t="shared" si="5"/>
        <v>3.3252845605602488E-4</v>
      </c>
      <c r="O31">
        <f t="shared" ca="1" si="3"/>
        <v>3.032274416810434E-3</v>
      </c>
      <c r="Q31" s="1">
        <f t="shared" si="4"/>
        <v>36735.302799999998</v>
      </c>
      <c r="R31" t="s">
        <v>64</v>
      </c>
    </row>
    <row r="32" spans="1:18">
      <c r="A32" t="s">
        <v>32</v>
      </c>
      <c r="B32" s="5"/>
      <c r="C32" s="38">
        <v>51767.664100000002</v>
      </c>
      <c r="D32" s="10"/>
      <c r="E32">
        <f t="shared" si="0"/>
        <v>-1355.997920295137</v>
      </c>
      <c r="F32">
        <f t="shared" si="1"/>
        <v>-1356</v>
      </c>
      <c r="G32">
        <f t="shared" si="2"/>
        <v>1.6955634273472242E-3</v>
      </c>
      <c r="K32">
        <f t="shared" si="5"/>
        <v>1.6955634273472242E-3</v>
      </c>
      <c r="O32">
        <f t="shared" ca="1" si="3"/>
        <v>3.0363531707056912E-3</v>
      </c>
      <c r="Q32" s="1">
        <f t="shared" si="4"/>
        <v>36749.164100000002</v>
      </c>
      <c r="R32" t="s">
        <v>64</v>
      </c>
    </row>
    <row r="33" spans="1:18">
      <c r="A33" t="s">
        <v>32</v>
      </c>
      <c r="C33" s="38">
        <v>52084.811800000003</v>
      </c>
      <c r="D33" s="10"/>
      <c r="E33">
        <f t="shared" si="0"/>
        <v>-966.99825070038787</v>
      </c>
      <c r="F33">
        <f t="shared" si="1"/>
        <v>-967</v>
      </c>
      <c r="G33">
        <f t="shared" si="2"/>
        <v>1.426187198376283E-3</v>
      </c>
      <c r="K33">
        <f t="shared" si="5"/>
        <v>1.426187198376283E-3</v>
      </c>
      <c r="O33">
        <f t="shared" ca="1" si="3"/>
        <v>3.1296846568971701E-3</v>
      </c>
      <c r="Q33" s="1">
        <f t="shared" si="4"/>
        <v>37066.311800000003</v>
      </c>
      <c r="R33" t="s">
        <v>64</v>
      </c>
    </row>
    <row r="34" spans="1:18">
      <c r="A34" s="35" t="s">
        <v>36</v>
      </c>
      <c r="B34" s="19"/>
      <c r="C34" s="40">
        <v>52395.438999999998</v>
      </c>
      <c r="D34" s="10"/>
      <c r="E34">
        <f t="shared" si="0"/>
        <v>-585.99634475202458</v>
      </c>
      <c r="F34">
        <f t="shared" si="1"/>
        <v>-586</v>
      </c>
      <c r="G34">
        <f t="shared" si="2"/>
        <v>2.9800886186421849E-3</v>
      </c>
      <c r="I34">
        <f t="shared" ref="I34:I39" si="6">+G34</f>
        <v>2.9800886186421849E-3</v>
      </c>
      <c r="O34">
        <f t="shared" ca="1" si="3"/>
        <v>3.2210967294908806E-3</v>
      </c>
      <c r="Q34" s="1">
        <f t="shared" si="4"/>
        <v>37376.938999999998</v>
      </c>
      <c r="R34" s="87" t="s">
        <v>72</v>
      </c>
    </row>
    <row r="35" spans="1:18">
      <c r="A35" s="19" t="s">
        <v>36</v>
      </c>
      <c r="B35" s="19"/>
      <c r="C35" s="40">
        <v>52412.565999999999</v>
      </c>
      <c r="D35" s="10"/>
      <c r="E35">
        <f t="shared" si="0"/>
        <v>-564.98910635442815</v>
      </c>
      <c r="F35">
        <f t="shared" si="1"/>
        <v>-565</v>
      </c>
      <c r="G35">
        <f t="shared" si="2"/>
        <v>8.8814847622415982E-3</v>
      </c>
      <c r="I35">
        <f t="shared" si="6"/>
        <v>8.8814847622415982E-3</v>
      </c>
      <c r="O35">
        <f t="shared" ca="1" si="3"/>
        <v>3.226135190185022E-3</v>
      </c>
      <c r="Q35" s="1">
        <f t="shared" si="4"/>
        <v>37394.065999999999</v>
      </c>
      <c r="R35" s="87" t="s">
        <v>72</v>
      </c>
    </row>
    <row r="36" spans="1:18">
      <c r="A36" s="19" t="s">
        <v>36</v>
      </c>
      <c r="B36" s="19"/>
      <c r="C36" s="40">
        <v>52426.430999999997</v>
      </c>
      <c r="D36" s="10"/>
      <c r="E36">
        <f t="shared" si="0"/>
        <v>-547.98289625443249</v>
      </c>
      <c r="F36">
        <f t="shared" si="1"/>
        <v>-548</v>
      </c>
      <c r="G36">
        <f t="shared" si="2"/>
        <v>1.3944519734650385E-2</v>
      </c>
      <c r="I36">
        <f t="shared" si="6"/>
        <v>1.3944519734650385E-2</v>
      </c>
      <c r="O36">
        <f t="shared" ca="1" si="3"/>
        <v>3.2302139440802792E-3</v>
      </c>
      <c r="Q36" s="1">
        <f t="shared" si="4"/>
        <v>37407.930999999997</v>
      </c>
      <c r="R36" s="87" t="s">
        <v>72</v>
      </c>
    </row>
    <row r="37" spans="1:18">
      <c r="A37" s="19" t="s">
        <v>36</v>
      </c>
      <c r="B37" s="19"/>
      <c r="C37" s="40">
        <v>52501.434000000001</v>
      </c>
      <c r="D37" s="10"/>
      <c r="E37">
        <f t="shared" si="0"/>
        <v>-455.98745621619014</v>
      </c>
      <c r="F37">
        <f t="shared" si="1"/>
        <v>-456</v>
      </c>
      <c r="G37">
        <f t="shared" si="2"/>
        <v>1.0226826641883235E-2</v>
      </c>
      <c r="I37">
        <f t="shared" si="6"/>
        <v>1.0226826641883235E-2</v>
      </c>
      <c r="O37">
        <f t="shared" ca="1" si="3"/>
        <v>3.2522872004546138E-3</v>
      </c>
      <c r="Q37" s="1">
        <f t="shared" si="4"/>
        <v>37482.934000000001</v>
      </c>
      <c r="R37" s="87" t="s">
        <v>72</v>
      </c>
    </row>
    <row r="38" spans="1:18">
      <c r="A38" s="19" t="s">
        <v>37</v>
      </c>
      <c r="B38" s="19"/>
      <c r="C38" s="40">
        <v>52792.489000000001</v>
      </c>
      <c r="D38" s="10"/>
      <c r="E38">
        <f t="shared" si="0"/>
        <v>-98.99196536476876</v>
      </c>
      <c r="F38">
        <f t="shared" si="1"/>
        <v>-99</v>
      </c>
      <c r="G38">
        <f t="shared" si="2"/>
        <v>6.5505610473337583E-3</v>
      </c>
      <c r="I38">
        <f t="shared" si="6"/>
        <v>6.5505610473337583E-3</v>
      </c>
      <c r="O38">
        <f t="shared" ca="1" si="3"/>
        <v>3.3379410322550199E-3</v>
      </c>
      <c r="Q38" s="1">
        <f t="shared" si="4"/>
        <v>37773.989000000001</v>
      </c>
      <c r="R38" s="87" t="s">
        <v>72</v>
      </c>
    </row>
    <row r="39" spans="1:18">
      <c r="A39" s="22" t="s">
        <v>48</v>
      </c>
      <c r="B39" s="44" t="s">
        <v>35</v>
      </c>
      <c r="C39" s="14">
        <v>52792.489000000001</v>
      </c>
      <c r="D39" s="14">
        <v>3.0000000000000001E-3</v>
      </c>
      <c r="E39">
        <f t="shared" si="0"/>
        <v>-98.99196536476876</v>
      </c>
      <c r="F39">
        <f t="shared" si="1"/>
        <v>-99</v>
      </c>
      <c r="G39">
        <f t="shared" si="2"/>
        <v>6.5505610473337583E-3</v>
      </c>
      <c r="I39">
        <f t="shared" si="6"/>
        <v>6.5505610473337583E-3</v>
      </c>
      <c r="O39">
        <f t="shared" ca="1" si="3"/>
        <v>3.3379410322550199E-3</v>
      </c>
      <c r="Q39" s="1">
        <f t="shared" si="4"/>
        <v>37773.989000000001</v>
      </c>
      <c r="R39" t="s">
        <v>176</v>
      </c>
    </row>
    <row r="40" spans="1:18">
      <c r="A40" s="32" t="s">
        <v>38</v>
      </c>
      <c r="B40" s="16" t="s">
        <v>35</v>
      </c>
      <c r="C40" s="41">
        <v>52873.196199999998</v>
      </c>
      <c r="D40" s="41">
        <v>2.9999999999999997E-4</v>
      </c>
      <c r="E40">
        <f t="shared" si="0"/>
        <v>0</v>
      </c>
      <c r="F40">
        <f t="shared" si="1"/>
        <v>0</v>
      </c>
      <c r="G40">
        <f t="shared" si="2"/>
        <v>0</v>
      </c>
      <c r="K40">
        <f>G40</f>
        <v>0</v>
      </c>
      <c r="O40">
        <f t="shared" ca="1" si="3"/>
        <v>3.3616937755274012E-3</v>
      </c>
      <c r="Q40" s="1">
        <f t="shared" si="4"/>
        <v>37854.696199999998</v>
      </c>
      <c r="R40" t="s">
        <v>64</v>
      </c>
    </row>
    <row r="41" spans="1:18">
      <c r="A41" s="39" t="s">
        <v>38</v>
      </c>
      <c r="B41" s="64" t="s">
        <v>34</v>
      </c>
      <c r="C41" s="65">
        <v>53130.421300000002</v>
      </c>
      <c r="D41" s="65">
        <v>5.0000000000000001E-4</v>
      </c>
      <c r="E41">
        <f t="shared" si="0"/>
        <v>315.50119679719307</v>
      </c>
      <c r="F41">
        <f t="shared" si="1"/>
        <v>315.5</v>
      </c>
      <c r="G41">
        <f t="shared" si="2"/>
        <v>9.7573727543931454E-4</v>
      </c>
      <c r="K41">
        <f>G41</f>
        <v>9.7573727543931454E-4</v>
      </c>
      <c r="O41">
        <f t="shared" ca="1" si="3"/>
        <v>3.4373906492893846E-3</v>
      </c>
      <c r="Q41" s="1">
        <f t="shared" si="4"/>
        <v>38111.921300000002</v>
      </c>
      <c r="R41" t="s">
        <v>64</v>
      </c>
    </row>
    <row r="42" spans="1:18">
      <c r="A42" s="66" t="s">
        <v>39</v>
      </c>
      <c r="B42" s="46" t="s">
        <v>35</v>
      </c>
      <c r="C42" s="39">
        <v>53149.584999999999</v>
      </c>
      <c r="D42" s="67">
        <v>4.0000000000000001E-3</v>
      </c>
      <c r="E42">
        <f t="shared" si="0"/>
        <v>339.00656343933434</v>
      </c>
      <c r="F42">
        <f t="shared" si="1"/>
        <v>339</v>
      </c>
      <c r="G42">
        <f t="shared" si="2"/>
        <v>5.3511091464315541E-3</v>
      </c>
      <c r="K42">
        <f>G42</f>
        <v>5.3511091464315541E-3</v>
      </c>
      <c r="O42">
        <f t="shared" ca="1" si="3"/>
        <v>3.4430289267328288E-3</v>
      </c>
      <c r="Q42" s="1">
        <f t="shared" si="4"/>
        <v>38131.084999999999</v>
      </c>
      <c r="R42" t="s">
        <v>64</v>
      </c>
    </row>
    <row r="43" spans="1:18">
      <c r="A43" s="68" t="s">
        <v>60</v>
      </c>
      <c r="B43" s="69" t="s">
        <v>35</v>
      </c>
      <c r="C43" s="68">
        <v>53440.646999999997</v>
      </c>
      <c r="D43" s="68">
        <v>3.0000000000000001E-3</v>
      </c>
      <c r="E43">
        <f t="shared" si="0"/>
        <v>696.01064018838736</v>
      </c>
      <c r="F43">
        <f t="shared" si="1"/>
        <v>696</v>
      </c>
      <c r="G43">
        <f t="shared" si="2"/>
        <v>8.6748435496701859E-3</v>
      </c>
      <c r="I43">
        <f>+G43</f>
        <v>8.6748435496701859E-3</v>
      </c>
      <c r="O43">
        <f t="shared" ca="1" si="3"/>
        <v>3.5286827585332345E-3</v>
      </c>
      <c r="Q43" s="1">
        <f t="shared" si="4"/>
        <v>38422.146999999997</v>
      </c>
      <c r="R43" s="87" t="s">
        <v>72</v>
      </c>
    </row>
    <row r="44" spans="1:18">
      <c r="A44" s="66" t="s">
        <v>46</v>
      </c>
      <c r="B44" s="70"/>
      <c r="C44" s="39">
        <v>53518.500999999997</v>
      </c>
      <c r="D44" s="39">
        <v>1.1999999999999999E-3</v>
      </c>
      <c r="E44">
        <f t="shared" si="0"/>
        <v>791.50299367740593</v>
      </c>
      <c r="F44">
        <f t="shared" si="1"/>
        <v>791.5</v>
      </c>
      <c r="G44">
        <f t="shared" si="2"/>
        <v>2.4407164819422178E-3</v>
      </c>
      <c r="J44">
        <f>+G44</f>
        <v>2.4407164819422178E-3</v>
      </c>
      <c r="O44">
        <f t="shared" ca="1" si="3"/>
        <v>3.5515957583565926E-3</v>
      </c>
      <c r="Q44" s="1">
        <f t="shared" si="4"/>
        <v>38500.000999999997</v>
      </c>
      <c r="R44" t="s">
        <v>66</v>
      </c>
    </row>
    <row r="45" spans="1:18">
      <c r="A45" s="71" t="s">
        <v>43</v>
      </c>
      <c r="B45" s="64" t="s">
        <v>35</v>
      </c>
      <c r="C45" s="65">
        <v>53596.361299999997</v>
      </c>
      <c r="D45" s="65">
        <v>6.9999999999999999E-4</v>
      </c>
      <c r="E45">
        <f t="shared" si="0"/>
        <v>887.00307447429645</v>
      </c>
      <c r="F45">
        <f t="shared" si="1"/>
        <v>887</v>
      </c>
      <c r="G45">
        <f t="shared" si="2"/>
        <v>2.5065894078579731E-3</v>
      </c>
      <c r="K45">
        <f>G45</f>
        <v>2.5065894078579731E-3</v>
      </c>
      <c r="O45">
        <f t="shared" ca="1" si="3"/>
        <v>3.5745087581799504E-3</v>
      </c>
      <c r="Q45" s="1">
        <f t="shared" si="4"/>
        <v>38577.861299999997</v>
      </c>
      <c r="R45" t="s">
        <v>64</v>
      </c>
    </row>
    <row r="46" spans="1:18">
      <c r="A46" s="39" t="s">
        <v>54</v>
      </c>
      <c r="B46" s="64"/>
      <c r="C46" s="39">
        <v>54200.491800000003</v>
      </c>
      <c r="D46" s="39">
        <v>8.9999999999999998E-4</v>
      </c>
      <c r="E46">
        <f t="shared" si="0"/>
        <v>1628.0034502995418</v>
      </c>
      <c r="F46">
        <f t="shared" si="1"/>
        <v>1628</v>
      </c>
      <c r="G46">
        <f t="shared" si="2"/>
        <v>2.8129961283411831E-3</v>
      </c>
      <c r="J46">
        <f>+G46</f>
        <v>2.8129961283411831E-3</v>
      </c>
      <c r="O46">
        <f t="shared" ca="1" si="3"/>
        <v>3.7522944426732299E-3</v>
      </c>
      <c r="Q46" s="1">
        <f t="shared" si="4"/>
        <v>39181.991800000003</v>
      </c>
      <c r="R46" t="s">
        <v>66</v>
      </c>
    </row>
    <row r="47" spans="1:18">
      <c r="A47" s="68" t="s">
        <v>58</v>
      </c>
      <c r="B47" s="69" t="s">
        <v>35</v>
      </c>
      <c r="C47" s="68">
        <v>55352.499400000001</v>
      </c>
      <c r="D47" s="68">
        <v>5.0000000000000001E-4</v>
      </c>
      <c r="E47">
        <f t="shared" si="0"/>
        <v>3041.0062113810091</v>
      </c>
      <c r="F47">
        <f t="shared" si="1"/>
        <v>3041</v>
      </c>
      <c r="G47">
        <f t="shared" si="2"/>
        <v>5.0640793706406839E-3</v>
      </c>
      <c r="J47">
        <f>+G47</f>
        <v>5.0640793706406839E-3</v>
      </c>
      <c r="O47">
        <f t="shared" ca="1" si="3"/>
        <v>4.0913108693790383E-3</v>
      </c>
      <c r="Q47" s="1">
        <f t="shared" si="4"/>
        <v>40333.999400000001</v>
      </c>
      <c r="R47" t="s">
        <v>66</v>
      </c>
    </row>
    <row r="48" spans="1:18">
      <c r="A48" s="68" t="s">
        <v>59</v>
      </c>
      <c r="B48" s="69" t="s">
        <v>35</v>
      </c>
      <c r="C48" s="68">
        <v>55672.908199999998</v>
      </c>
      <c r="D48" s="68">
        <v>8.0000000000000004E-4</v>
      </c>
      <c r="E48">
        <f t="shared" si="0"/>
        <v>3434.0058053722269</v>
      </c>
      <c r="F48">
        <f t="shared" si="1"/>
        <v>3434</v>
      </c>
      <c r="G48">
        <f t="shared" si="2"/>
        <v>4.733064299216494E-3</v>
      </c>
      <c r="K48">
        <f t="shared" ref="K48:K53" si="7">G48</f>
        <v>4.733064299216494E-3</v>
      </c>
      <c r="O48">
        <f t="shared" ca="1" si="3"/>
        <v>4.1856020623694014E-3</v>
      </c>
      <c r="Q48" s="1">
        <f t="shared" si="4"/>
        <v>40654.408199999998</v>
      </c>
      <c r="R48" t="s">
        <v>64</v>
      </c>
    </row>
    <row r="49" spans="1:18">
      <c r="A49" s="72" t="s">
        <v>61</v>
      </c>
      <c r="B49" s="73" t="s">
        <v>35</v>
      </c>
      <c r="C49" s="72">
        <v>56052.831700000002</v>
      </c>
      <c r="D49" s="72">
        <v>1.6000000000000001E-3</v>
      </c>
      <c r="E49">
        <f t="shared" si="0"/>
        <v>3900.0035596402909</v>
      </c>
      <c r="F49">
        <f t="shared" si="1"/>
        <v>3900</v>
      </c>
      <c r="G49">
        <f t="shared" si="2"/>
        <v>2.9021405935054645E-3</v>
      </c>
      <c r="K49">
        <f t="shared" si="7"/>
        <v>2.9021405935054645E-3</v>
      </c>
      <c r="O49">
        <f t="shared" ca="1" si="3"/>
        <v>4.2974079044393989E-3</v>
      </c>
      <c r="Q49" s="1">
        <f t="shared" si="4"/>
        <v>41034.331700000002</v>
      </c>
      <c r="R49" t="s">
        <v>64</v>
      </c>
    </row>
    <row r="50" spans="1:18" s="87" customFormat="1">
      <c r="A50" s="88" t="s">
        <v>169</v>
      </c>
      <c r="B50" s="89" t="s">
        <v>35</v>
      </c>
      <c r="C50" s="90">
        <v>56869.7549</v>
      </c>
      <c r="D50" s="90">
        <v>2.0000000000000001E-4</v>
      </c>
      <c r="E50" s="87">
        <f t="shared" si="0"/>
        <v>4902.0062696844843</v>
      </c>
      <c r="F50" s="87">
        <f t="shared" si="1"/>
        <v>4902</v>
      </c>
      <c r="G50" s="87">
        <f t="shared" si="2"/>
        <v>5.1116136310156435E-3</v>
      </c>
      <c r="K50" s="87">
        <f t="shared" si="7"/>
        <v>5.1116136310156435E-3</v>
      </c>
      <c r="O50" s="87">
        <f t="shared" ca="1" si="3"/>
        <v>4.5378144575598661E-3</v>
      </c>
      <c r="Q50" s="91">
        <f t="shared" si="4"/>
        <v>41851.2549</v>
      </c>
      <c r="R50" s="87" t="s">
        <v>64</v>
      </c>
    </row>
    <row r="51" spans="1:18" s="87" customFormat="1">
      <c r="A51" s="88" t="s">
        <v>169</v>
      </c>
      <c r="B51" s="89" t="s">
        <v>35</v>
      </c>
      <c r="C51" s="90">
        <v>57231.7448</v>
      </c>
      <c r="D51" s="90">
        <v>1E-4</v>
      </c>
      <c r="E51" s="87">
        <f t="shared" si="0"/>
        <v>5346.007444836112</v>
      </c>
      <c r="F51" s="87">
        <f t="shared" si="1"/>
        <v>5346</v>
      </c>
      <c r="G51" s="87">
        <f t="shared" si="2"/>
        <v>6.0697034859913401E-3</v>
      </c>
      <c r="K51" s="87">
        <f t="shared" si="7"/>
        <v>6.0697034859913401E-3</v>
      </c>
      <c r="O51" s="87">
        <f t="shared" ca="1" si="3"/>
        <v>4.6443419122360018E-3</v>
      </c>
      <c r="Q51" s="91">
        <f t="shared" si="4"/>
        <v>42213.2448</v>
      </c>
      <c r="R51" s="87" t="s">
        <v>64</v>
      </c>
    </row>
    <row r="52" spans="1:18" s="87" customFormat="1">
      <c r="A52" s="88" t="s">
        <v>170</v>
      </c>
      <c r="B52" s="89" t="s">
        <v>35</v>
      </c>
      <c r="C52" s="90">
        <v>57562.750800000002</v>
      </c>
      <c r="D52" s="90">
        <v>1E-4</v>
      </c>
      <c r="E52" s="87">
        <f t="shared" si="0"/>
        <v>5752.0051066002661</v>
      </c>
      <c r="F52" s="87">
        <f t="shared" si="1"/>
        <v>5752</v>
      </c>
      <c r="G52" s="87">
        <f t="shared" si="2"/>
        <v>4.1633622240624391E-3</v>
      </c>
      <c r="K52" s="87">
        <f t="shared" si="7"/>
        <v>4.1633622240624391E-3</v>
      </c>
      <c r="O52" s="87">
        <f t="shared" ca="1" si="3"/>
        <v>4.7417521523227379E-3</v>
      </c>
      <c r="Q52" s="91">
        <f t="shared" si="4"/>
        <v>42544.250800000002</v>
      </c>
      <c r="R52" s="87" t="s">
        <v>64</v>
      </c>
    </row>
    <row r="53" spans="1:18" s="87" customFormat="1">
      <c r="A53" s="92" t="s">
        <v>171</v>
      </c>
      <c r="B53" s="93" t="s">
        <v>35</v>
      </c>
      <c r="C53" s="94">
        <v>57929.633099999999</v>
      </c>
      <c r="D53" s="94">
        <v>1E-4</v>
      </c>
      <c r="E53" s="87">
        <f t="shared" si="0"/>
        <v>6202.007088264204</v>
      </c>
      <c r="F53" s="87">
        <f t="shared" si="1"/>
        <v>6202</v>
      </c>
      <c r="G53" s="87">
        <f t="shared" si="2"/>
        <v>5.7789938291534781E-3</v>
      </c>
      <c r="K53" s="87">
        <f t="shared" si="7"/>
        <v>5.7789938291534781E-3</v>
      </c>
      <c r="O53" s="87">
        <f t="shared" ca="1" si="3"/>
        <v>4.8497191671971985E-3</v>
      </c>
      <c r="Q53" s="91">
        <f t="shared" si="4"/>
        <v>42911.133099999999</v>
      </c>
      <c r="R53" s="87" t="s">
        <v>64</v>
      </c>
    </row>
    <row r="54" spans="1:18" s="87" customFormat="1">
      <c r="A54" s="22"/>
      <c r="B54" s="95"/>
      <c r="C54" s="96"/>
      <c r="D54" s="97"/>
      <c r="Q54" s="91"/>
    </row>
    <row r="55" spans="1:18" s="87" customFormat="1"/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activeCell="G42" sqref="G4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1.710937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26" t="s">
        <v>31</v>
      </c>
      <c r="B1" s="24"/>
      <c r="C1" s="24"/>
      <c r="D1" s="24"/>
      <c r="E1" s="24"/>
      <c r="F1" s="24"/>
    </row>
    <row r="2" spans="1:6">
      <c r="A2" s="25" t="s">
        <v>26</v>
      </c>
      <c r="B2" s="24"/>
      <c r="C2" s="24"/>
      <c r="D2" s="24"/>
      <c r="E2" s="24"/>
      <c r="F2" s="24"/>
    </row>
    <row r="3" spans="1:6" ht="13.5" thickBot="1"/>
    <row r="4" spans="1:6" ht="14.25" thickTop="1" thickBot="1">
      <c r="A4" s="7" t="s">
        <v>0</v>
      </c>
      <c r="C4" s="27" t="s">
        <v>13</v>
      </c>
      <c r="D4" s="28" t="s">
        <v>13</v>
      </c>
    </row>
    <row r="5" spans="1:6" ht="13.5" thickTop="1"/>
    <row r="6" spans="1:6">
      <c r="A6" s="7" t="s">
        <v>1</v>
      </c>
    </row>
    <row r="7" spans="1:6">
      <c r="A7" t="s">
        <v>2</v>
      </c>
      <c r="C7" s="29">
        <v>52873.196199999998</v>
      </c>
    </row>
    <row r="8" spans="1:6">
      <c r="A8" t="s">
        <v>3</v>
      </c>
      <c r="C8" s="33">
        <v>0.81525999999999998</v>
      </c>
      <c r="D8" s="33">
        <v>0.81528980500000003</v>
      </c>
    </row>
    <row r="10" spans="1:6" ht="13.5" thickBot="1">
      <c r="C10" s="6" t="s">
        <v>21</v>
      </c>
      <c r="D10" s="6" t="s">
        <v>22</v>
      </c>
    </row>
    <row r="11" spans="1:6">
      <c r="A11" t="s">
        <v>15</v>
      </c>
      <c r="C11">
        <f>INTERCEPT(G21:G992,$F21:$F992)</f>
        <v>2.8252990745000831E-3</v>
      </c>
      <c r="D11" s="5"/>
    </row>
    <row r="12" spans="1:6">
      <c r="A12" t="s">
        <v>16</v>
      </c>
      <c r="C12">
        <f>SLOPE(G21:G992,$F21:$F992)</f>
        <v>3.0409707541799797E-5</v>
      </c>
      <c r="D12" s="5"/>
    </row>
    <row r="13" spans="1:6">
      <c r="A13" t="s">
        <v>20</v>
      </c>
      <c r="C13" s="5" t="s">
        <v>13</v>
      </c>
      <c r="D13" s="5"/>
    </row>
    <row r="14" spans="1:6">
      <c r="A14" t="s">
        <v>25</v>
      </c>
    </row>
    <row r="15" spans="1:6">
      <c r="A15" s="2" t="s">
        <v>17</v>
      </c>
      <c r="C15" s="23">
        <v>53149.584999999999</v>
      </c>
    </row>
    <row r="16" spans="1:6">
      <c r="A16" s="7" t="s">
        <v>4</v>
      </c>
      <c r="C16">
        <f>+$C8+C12</f>
        <v>0.81529040970754174</v>
      </c>
    </row>
    <row r="17" spans="1:17" ht="13.5" thickBot="1"/>
    <row r="18" spans="1:17">
      <c r="A18" s="7" t="s">
        <v>5</v>
      </c>
      <c r="C18" s="3">
        <f>+C$15</f>
        <v>53149.584999999999</v>
      </c>
      <c r="D18" s="4">
        <f>+C$16</f>
        <v>0.81529040970754174</v>
      </c>
    </row>
    <row r="19" spans="1:17" ht="13.5" thickTop="1"/>
    <row r="20" spans="1:17" ht="13.5" thickBot="1">
      <c r="A20" s="6" t="s">
        <v>6</v>
      </c>
      <c r="B20" s="6" t="s">
        <v>7</v>
      </c>
      <c r="C20" s="6" t="s">
        <v>8</v>
      </c>
      <c r="D20" s="6" t="s">
        <v>12</v>
      </c>
      <c r="E20" s="6" t="s">
        <v>9</v>
      </c>
      <c r="F20" s="6" t="s">
        <v>10</v>
      </c>
      <c r="G20" s="6" t="s">
        <v>11</v>
      </c>
      <c r="H20" s="9" t="s">
        <v>30</v>
      </c>
      <c r="I20" s="9" t="s">
        <v>40</v>
      </c>
      <c r="J20" s="9" t="s">
        <v>18</v>
      </c>
      <c r="K20" s="9" t="s">
        <v>19</v>
      </c>
      <c r="L20" s="9" t="s">
        <v>27</v>
      </c>
      <c r="M20" s="9" t="s">
        <v>28</v>
      </c>
      <c r="N20" s="9" t="s">
        <v>29</v>
      </c>
      <c r="O20" s="9" t="s">
        <v>24</v>
      </c>
      <c r="P20" s="8" t="s">
        <v>23</v>
      </c>
      <c r="Q20" s="6" t="s">
        <v>14</v>
      </c>
    </row>
    <row r="21" spans="1:17">
      <c r="A21" t="s">
        <v>32</v>
      </c>
      <c r="B21" s="5"/>
      <c r="C21" s="30">
        <v>45901.652000000002</v>
      </c>
      <c r="D21" s="11"/>
      <c r="E21">
        <f t="shared" ref="E21:E38" si="0">+(C21-C$7)/C$8</f>
        <v>-8551.31393665824</v>
      </c>
      <c r="F21" s="34">
        <f>ROUND(2*E21,0)/2+0.5</f>
        <v>-8551</v>
      </c>
      <c r="G21">
        <f t="shared" ref="G21:G38" si="1">C21-($C$7+$C$8*$F21)</f>
        <v>-0.25593999999546213</v>
      </c>
      <c r="H21">
        <f>G21</f>
        <v>-0.25593999999546213</v>
      </c>
      <c r="O21">
        <f t="shared" ref="O21:O38" si="2">+C$11+C$12*$F21</f>
        <v>-0.25720811011542999</v>
      </c>
      <c r="Q21" s="1">
        <f t="shared" ref="Q21:Q38" si="3">+C21-15018.5</f>
        <v>30883.152000000002</v>
      </c>
    </row>
    <row r="22" spans="1:17">
      <c r="A22" t="s">
        <v>32</v>
      </c>
      <c r="B22" s="5"/>
      <c r="C22" s="30">
        <v>46116.891000000003</v>
      </c>
      <c r="D22" s="11"/>
      <c r="E22">
        <f t="shared" si="0"/>
        <v>-8287.3012290557563</v>
      </c>
      <c r="F22" s="34">
        <f>ROUND(2*E22,0)/2+0.5</f>
        <v>-8287</v>
      </c>
      <c r="G22">
        <f t="shared" si="1"/>
        <v>-0.24557999999524327</v>
      </c>
      <c r="H22">
        <f>G22</f>
        <v>-0.24557999999524327</v>
      </c>
      <c r="O22">
        <f t="shared" si="2"/>
        <v>-0.24917994732439486</v>
      </c>
      <c r="Q22" s="1">
        <f t="shared" si="3"/>
        <v>31098.391000000003</v>
      </c>
    </row>
    <row r="23" spans="1:17">
      <c r="A23" t="s">
        <v>33</v>
      </c>
      <c r="B23" s="5" t="s">
        <v>34</v>
      </c>
      <c r="C23" s="37">
        <v>51265.841999999997</v>
      </c>
      <c r="D23" s="5">
        <v>3.0000000000000001E-3</v>
      </c>
      <c r="E23">
        <f t="shared" si="0"/>
        <v>-1971.5847705026638</v>
      </c>
      <c r="F23">
        <f t="shared" ref="F23:F38" si="4">ROUND(2*E23,0)/2</f>
        <v>-1971.5</v>
      </c>
      <c r="G23">
        <f t="shared" si="1"/>
        <v>-6.9110000004002359E-2</v>
      </c>
      <c r="H23">
        <f t="shared" ref="H23:H30" si="5">+G23</f>
        <v>-6.9110000004002359E-2</v>
      </c>
      <c r="O23">
        <f t="shared" si="2"/>
        <v>-5.7127439344158218E-2</v>
      </c>
      <c r="Q23" s="1">
        <f t="shared" si="3"/>
        <v>36247.341999999997</v>
      </c>
    </row>
    <row r="24" spans="1:17">
      <c r="A24" t="s">
        <v>33</v>
      </c>
      <c r="B24" s="5"/>
      <c r="C24" s="37">
        <v>51311.91</v>
      </c>
      <c r="D24" s="5">
        <v>0.02</v>
      </c>
      <c r="E24">
        <f t="shared" si="0"/>
        <v>-1915.0776439418039</v>
      </c>
      <c r="F24">
        <f t="shared" si="4"/>
        <v>-1915</v>
      </c>
      <c r="G24">
        <f t="shared" si="1"/>
        <v>-6.3299999994342215E-2</v>
      </c>
      <c r="H24">
        <f t="shared" si="5"/>
        <v>-6.3299999994342215E-2</v>
      </c>
      <c r="O24">
        <f t="shared" si="2"/>
        <v>-5.540929086804653E-2</v>
      </c>
      <c r="Q24" s="1">
        <f t="shared" si="3"/>
        <v>36293.410000000003</v>
      </c>
    </row>
    <row r="25" spans="1:17">
      <c r="A25" t="s">
        <v>32</v>
      </c>
      <c r="B25" s="5" t="s">
        <v>34</v>
      </c>
      <c r="C25" s="30">
        <v>51738.719700000001</v>
      </c>
      <c r="D25" s="11"/>
      <c r="E25">
        <f t="shared" si="0"/>
        <v>-1391.5517748938953</v>
      </c>
      <c r="F25">
        <f t="shared" si="4"/>
        <v>-1391.5</v>
      </c>
      <c r="G25">
        <f t="shared" si="1"/>
        <v>-4.2209999999613501E-2</v>
      </c>
      <c r="H25">
        <f t="shared" si="5"/>
        <v>-4.2209999999613501E-2</v>
      </c>
      <c r="O25">
        <f t="shared" si="2"/>
        <v>-3.9489808969914338E-2</v>
      </c>
      <c r="Q25" s="1">
        <f t="shared" si="3"/>
        <v>36720.219700000001</v>
      </c>
    </row>
    <row r="26" spans="1:17">
      <c r="A26" t="s">
        <v>32</v>
      </c>
      <c r="B26" s="5"/>
      <c r="C26" s="30">
        <v>51740.759400000003</v>
      </c>
      <c r="D26" s="11"/>
      <c r="E26">
        <f t="shared" si="0"/>
        <v>-1389.0498736599316</v>
      </c>
      <c r="F26">
        <f t="shared" si="4"/>
        <v>-1389</v>
      </c>
      <c r="G26">
        <f t="shared" si="1"/>
        <v>-4.0659999998752028E-2</v>
      </c>
      <c r="H26">
        <f t="shared" si="5"/>
        <v>-4.0659999998752028E-2</v>
      </c>
      <c r="O26">
        <f t="shared" si="2"/>
        <v>-3.9413784701059836E-2</v>
      </c>
      <c r="Q26" s="1">
        <f t="shared" si="3"/>
        <v>36722.259400000003</v>
      </c>
    </row>
    <row r="27" spans="1:17">
      <c r="A27" t="s">
        <v>32</v>
      </c>
      <c r="B27" s="5" t="s">
        <v>34</v>
      </c>
      <c r="C27" s="30">
        <v>51747.688300000002</v>
      </c>
      <c r="D27" s="11"/>
      <c r="E27">
        <f t="shared" si="0"/>
        <v>-1380.5508672080034</v>
      </c>
      <c r="F27">
        <f t="shared" si="4"/>
        <v>-1380.5</v>
      </c>
      <c r="G27">
        <f t="shared" si="1"/>
        <v>-4.1469999996479601E-2</v>
      </c>
      <c r="H27">
        <f t="shared" si="5"/>
        <v>-4.1469999996479601E-2</v>
      </c>
      <c r="O27">
        <f t="shared" si="2"/>
        <v>-3.9155302186954538E-2</v>
      </c>
      <c r="Q27" s="1">
        <f t="shared" si="3"/>
        <v>36729.188300000002</v>
      </c>
    </row>
    <row r="28" spans="1:17">
      <c r="A28" t="s">
        <v>32</v>
      </c>
      <c r="B28" s="5"/>
      <c r="C28" s="30">
        <v>51753.802799999998</v>
      </c>
      <c r="D28" s="11"/>
      <c r="E28">
        <f t="shared" si="0"/>
        <v>-1373.0508058778805</v>
      </c>
      <c r="F28">
        <f t="shared" si="4"/>
        <v>-1373</v>
      </c>
      <c r="G28">
        <f t="shared" si="1"/>
        <v>-4.1420000001380686E-2</v>
      </c>
      <c r="H28">
        <f t="shared" si="5"/>
        <v>-4.1420000001380686E-2</v>
      </c>
      <c r="O28">
        <f t="shared" si="2"/>
        <v>-3.8927229380391039E-2</v>
      </c>
      <c r="Q28" s="1">
        <f t="shared" si="3"/>
        <v>36735.302799999998</v>
      </c>
    </row>
    <row r="29" spans="1:17">
      <c r="A29" t="s">
        <v>32</v>
      </c>
      <c r="B29" s="5"/>
      <c r="C29" s="30">
        <v>51767.664100000002</v>
      </c>
      <c r="D29" s="11"/>
      <c r="E29">
        <f t="shared" si="0"/>
        <v>-1356.0484998650697</v>
      </c>
      <c r="F29">
        <f t="shared" si="4"/>
        <v>-1356</v>
      </c>
      <c r="G29">
        <f t="shared" si="1"/>
        <v>-3.9539999997941777E-2</v>
      </c>
      <c r="H29">
        <f t="shared" si="5"/>
        <v>-3.9539999997941777E-2</v>
      </c>
      <c r="O29">
        <f t="shared" si="2"/>
        <v>-3.8410264352180444E-2</v>
      </c>
      <c r="Q29" s="1">
        <f t="shared" si="3"/>
        <v>36749.164100000002</v>
      </c>
    </row>
    <row r="30" spans="1:17">
      <c r="A30" t="s">
        <v>32</v>
      </c>
      <c r="C30" s="30">
        <v>52084.811800000003</v>
      </c>
      <c r="D30" s="11"/>
      <c r="E30">
        <f t="shared" si="0"/>
        <v>-967.03432033951788</v>
      </c>
      <c r="F30">
        <f t="shared" si="4"/>
        <v>-967</v>
      </c>
      <c r="G30">
        <f t="shared" si="1"/>
        <v>-2.7979999998933636E-2</v>
      </c>
      <c r="H30">
        <f t="shared" si="5"/>
        <v>-2.7979999998933636E-2</v>
      </c>
      <c r="O30">
        <f t="shared" si="2"/>
        <v>-2.6580888118420319E-2</v>
      </c>
      <c r="Q30" s="1">
        <f t="shared" si="3"/>
        <v>37066.311800000003</v>
      </c>
    </row>
    <row r="31" spans="1:17">
      <c r="A31" s="35" t="s">
        <v>36</v>
      </c>
      <c r="B31" s="19"/>
      <c r="C31" s="36">
        <v>52395.438999999998</v>
      </c>
      <c r="D31" s="11"/>
      <c r="E31">
        <f t="shared" si="0"/>
        <v>-586.01820278193463</v>
      </c>
      <c r="F31">
        <f t="shared" si="4"/>
        <v>-586</v>
      </c>
      <c r="G31">
        <f t="shared" si="1"/>
        <v>-1.4840000003459863E-2</v>
      </c>
      <c r="I31">
        <f>+G31</f>
        <v>-1.4840000003459863E-2</v>
      </c>
      <c r="O31">
        <f t="shared" si="2"/>
        <v>-1.4994789544994599E-2</v>
      </c>
      <c r="Q31" s="1">
        <f t="shared" si="3"/>
        <v>37376.938999999998</v>
      </c>
    </row>
    <row r="32" spans="1:17">
      <c r="A32" s="19" t="s">
        <v>36</v>
      </c>
      <c r="B32" s="19"/>
      <c r="C32" s="36">
        <v>52412.565999999999</v>
      </c>
      <c r="D32" s="11"/>
      <c r="E32">
        <f t="shared" si="0"/>
        <v>-565.01018080121628</v>
      </c>
      <c r="F32">
        <f t="shared" si="4"/>
        <v>-565</v>
      </c>
      <c r="G32">
        <f t="shared" si="1"/>
        <v>-8.3000000013271347E-3</v>
      </c>
      <c r="I32">
        <f>+G32</f>
        <v>-8.3000000013271347E-3</v>
      </c>
      <c r="O32">
        <f t="shared" si="2"/>
        <v>-1.4356185686616802E-2</v>
      </c>
      <c r="Q32" s="1">
        <f t="shared" si="3"/>
        <v>37394.065999999999</v>
      </c>
    </row>
    <row r="33" spans="1:17">
      <c r="A33" s="19" t="s">
        <v>36</v>
      </c>
      <c r="B33" s="19"/>
      <c r="C33" s="36">
        <v>52426.430999999997</v>
      </c>
      <c r="D33" s="11"/>
      <c r="E33">
        <f t="shared" si="0"/>
        <v>-548.00333635895504</v>
      </c>
      <c r="F33">
        <f t="shared" si="4"/>
        <v>-548</v>
      </c>
      <c r="G33">
        <f t="shared" si="1"/>
        <v>-2.7200000040465966E-3</v>
      </c>
      <c r="I33">
        <f>+G33</f>
        <v>-2.7200000040465966E-3</v>
      </c>
      <c r="O33">
        <f t="shared" si="2"/>
        <v>-1.3839220658406207E-2</v>
      </c>
      <c r="Q33" s="1">
        <f t="shared" si="3"/>
        <v>37407.930999999997</v>
      </c>
    </row>
    <row r="34" spans="1:17">
      <c r="A34" s="19" t="s">
        <v>36</v>
      </c>
      <c r="B34" s="19"/>
      <c r="C34" s="36">
        <v>52501.434000000001</v>
      </c>
      <c r="D34" s="11"/>
      <c r="E34">
        <f t="shared" si="0"/>
        <v>-456.00446483330154</v>
      </c>
      <c r="F34">
        <f t="shared" si="4"/>
        <v>-456</v>
      </c>
      <c r="G34">
        <f t="shared" si="1"/>
        <v>-3.639999995357357E-3</v>
      </c>
      <c r="I34">
        <f>+G34</f>
        <v>-3.639999995357357E-3</v>
      </c>
      <c r="O34">
        <f t="shared" si="2"/>
        <v>-1.1041527564560625E-2</v>
      </c>
      <c r="Q34" s="1">
        <f t="shared" si="3"/>
        <v>37482.934000000001</v>
      </c>
    </row>
    <row r="35" spans="1:17">
      <c r="A35" s="19" t="s">
        <v>37</v>
      </c>
      <c r="B35" s="19"/>
      <c r="C35" s="36">
        <v>52792.489000000001</v>
      </c>
      <c r="D35" s="11"/>
      <c r="E35">
        <f t="shared" si="0"/>
        <v>-98.995657826947351</v>
      </c>
      <c r="F35">
        <f t="shared" si="4"/>
        <v>-99</v>
      </c>
      <c r="G35">
        <f t="shared" si="1"/>
        <v>3.5400000051595271E-3</v>
      </c>
      <c r="I35">
        <f>+G35</f>
        <v>3.5400000051595271E-3</v>
      </c>
      <c r="O35">
        <f t="shared" si="2"/>
        <v>-1.8526197213809695E-4</v>
      </c>
      <c r="Q35" s="1">
        <f t="shared" si="3"/>
        <v>37773.989000000001</v>
      </c>
    </row>
    <row r="36" spans="1:17">
      <c r="A36" s="32" t="s">
        <v>38</v>
      </c>
      <c r="B36" s="16" t="s">
        <v>35</v>
      </c>
      <c r="C36" s="20">
        <v>52873.196199999998</v>
      </c>
      <c r="D36" s="20">
        <v>2.9999999999999997E-4</v>
      </c>
      <c r="E36">
        <f t="shared" si="0"/>
        <v>0</v>
      </c>
      <c r="F36">
        <f t="shared" si="4"/>
        <v>0</v>
      </c>
      <c r="G36">
        <f t="shared" si="1"/>
        <v>0</v>
      </c>
      <c r="H36">
        <f>+G36</f>
        <v>0</v>
      </c>
      <c r="O36">
        <f t="shared" si="2"/>
        <v>2.8252990745000831E-3</v>
      </c>
      <c r="Q36" s="1">
        <f t="shared" si="3"/>
        <v>37854.696199999998</v>
      </c>
    </row>
    <row r="37" spans="1:17">
      <c r="A37" s="32" t="s">
        <v>38</v>
      </c>
      <c r="B37" s="16" t="s">
        <v>34</v>
      </c>
      <c r="C37" s="20">
        <v>53130.421300000002</v>
      </c>
      <c r="D37" s="20">
        <v>5.0000000000000001E-4</v>
      </c>
      <c r="E37">
        <f t="shared" si="0"/>
        <v>315.51296518902348</v>
      </c>
      <c r="F37">
        <f t="shared" si="4"/>
        <v>315.5</v>
      </c>
      <c r="G37">
        <f t="shared" si="1"/>
        <v>1.0570000005827751E-2</v>
      </c>
      <c r="H37">
        <f>+G37</f>
        <v>1.0570000005827751E-2</v>
      </c>
      <c r="O37">
        <f t="shared" si="2"/>
        <v>1.2419561803937919E-2</v>
      </c>
      <c r="Q37" s="1">
        <f t="shared" si="3"/>
        <v>38111.921300000002</v>
      </c>
    </row>
    <row r="38" spans="1:17">
      <c r="A38" s="25" t="s">
        <v>39</v>
      </c>
      <c r="B38" s="5" t="s">
        <v>35</v>
      </c>
      <c r="C38" s="23">
        <v>53149.584999999999</v>
      </c>
      <c r="D38" s="15">
        <v>4.0000000000000001E-3</v>
      </c>
      <c r="E38">
        <f t="shared" si="0"/>
        <v>339.01920859603149</v>
      </c>
      <c r="F38">
        <f t="shared" si="4"/>
        <v>339</v>
      </c>
      <c r="G38">
        <f t="shared" si="1"/>
        <v>1.5659999997296836E-2</v>
      </c>
      <c r="H38">
        <f>+G38</f>
        <v>1.5659999997296836E-2</v>
      </c>
      <c r="O38">
        <f t="shared" si="2"/>
        <v>1.3134189931170215E-2</v>
      </c>
      <c r="Q38" s="1">
        <f t="shared" si="3"/>
        <v>38131.084999999999</v>
      </c>
    </row>
    <row r="39" spans="1:17">
      <c r="C39" s="31"/>
      <c r="D39" s="11"/>
      <c r="Q39" s="1"/>
    </row>
    <row r="40" spans="1:17">
      <c r="B40" s="5"/>
      <c r="C40" s="29"/>
      <c r="D40" s="11"/>
      <c r="Q40" s="1"/>
    </row>
    <row r="41" spans="1:17">
      <c r="B41" s="5"/>
      <c r="C41" s="12"/>
      <c r="D41" s="13"/>
      <c r="Q41" s="1"/>
    </row>
    <row r="42" spans="1:17">
      <c r="B42" s="5"/>
      <c r="C42" s="12"/>
      <c r="D42" s="13"/>
      <c r="Q42" s="1"/>
    </row>
    <row r="43" spans="1:17">
      <c r="B43" s="5"/>
      <c r="C43" s="12"/>
      <c r="D43" s="13"/>
      <c r="Q43" s="1"/>
    </row>
    <row r="44" spans="1:17">
      <c r="B44" s="5"/>
      <c r="C44" s="11"/>
      <c r="D44" s="10"/>
      <c r="Q44" s="1"/>
    </row>
    <row r="45" spans="1:17">
      <c r="B45" s="5"/>
      <c r="C45" s="11"/>
      <c r="D45" s="10"/>
      <c r="Q45" s="1"/>
    </row>
    <row r="46" spans="1:17">
      <c r="B46" s="5"/>
      <c r="C46" s="11"/>
      <c r="D46" s="10"/>
      <c r="Q46" s="1"/>
    </row>
    <row r="47" spans="1:17">
      <c r="B47" s="5"/>
      <c r="C47" s="11"/>
      <c r="D47" s="10"/>
      <c r="Q47" s="1"/>
    </row>
    <row r="48" spans="1:17">
      <c r="B48" s="5"/>
      <c r="C48" s="11"/>
      <c r="D48" s="10"/>
      <c r="Q48" s="1"/>
    </row>
    <row r="49" spans="1:17">
      <c r="B49" s="5"/>
      <c r="C49" s="11"/>
      <c r="D49" s="10"/>
      <c r="Q49" s="1"/>
    </row>
    <row r="50" spans="1:17">
      <c r="B50" s="5"/>
      <c r="Q50" s="1"/>
    </row>
    <row r="51" spans="1:17">
      <c r="B51" s="5"/>
      <c r="Q51" s="1"/>
    </row>
    <row r="52" spans="1:17">
      <c r="A52" s="14"/>
      <c r="B52" s="5"/>
      <c r="C52" s="15"/>
      <c r="D52" s="15"/>
      <c r="Q52" s="1"/>
    </row>
    <row r="53" spans="1:17">
      <c r="A53" s="14"/>
      <c r="B53" s="16"/>
      <c r="C53" s="17"/>
      <c r="D53" s="18"/>
      <c r="Q53" s="1"/>
    </row>
    <row r="54" spans="1:17">
      <c r="A54" s="14"/>
      <c r="B54" s="16"/>
      <c r="C54" s="17"/>
      <c r="D54" s="18"/>
      <c r="Q54" s="1"/>
    </row>
    <row r="55" spans="1:17">
      <c r="A55" s="14"/>
      <c r="B55" s="16"/>
      <c r="C55" s="17"/>
      <c r="D55" s="18"/>
      <c r="Q55" s="1"/>
    </row>
    <row r="56" spans="1:17">
      <c r="A56" s="14"/>
      <c r="B56" s="16"/>
      <c r="C56" s="17"/>
      <c r="D56" s="18"/>
      <c r="Q56" s="1"/>
    </row>
    <row r="57" spans="1:17">
      <c r="A57" s="14"/>
      <c r="B57" s="16"/>
      <c r="C57" s="17"/>
      <c r="D57" s="18"/>
      <c r="Q57" s="1"/>
    </row>
    <row r="58" spans="1:17">
      <c r="A58" s="19"/>
      <c r="B58" s="16"/>
      <c r="C58" s="20"/>
      <c r="D58" s="20"/>
      <c r="Q58" s="1"/>
    </row>
    <row r="59" spans="1:17">
      <c r="A59" s="19"/>
      <c r="B59" s="16"/>
      <c r="C59" s="20"/>
      <c r="D59" s="20"/>
      <c r="Q59" s="1"/>
    </row>
    <row r="60" spans="1:17">
      <c r="A60" s="21"/>
      <c r="B60" s="16"/>
      <c r="C60" s="20"/>
      <c r="D60" s="20"/>
      <c r="Q60" s="1"/>
    </row>
    <row r="61" spans="1:17">
      <c r="A61" s="22"/>
      <c r="B61" s="5"/>
      <c r="C61" s="23"/>
      <c r="D61" s="15"/>
      <c r="Q61" s="1"/>
    </row>
    <row r="62" spans="1:17">
      <c r="A62" s="22"/>
      <c r="B62" s="16"/>
      <c r="C62" s="17"/>
      <c r="D62" s="18"/>
      <c r="Q62" s="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9"/>
  <sheetViews>
    <sheetView topLeftCell="A10" workbookViewId="0">
      <selection activeCell="A11" sqref="A11:IV448"/>
    </sheetView>
  </sheetViews>
  <sheetFormatPr defaultRowHeight="12.75"/>
  <cols>
    <col min="1" max="1" width="19.7109375" style="32" customWidth="1"/>
    <col min="2" max="2" width="4.42578125" style="25" customWidth="1"/>
    <col min="3" max="3" width="12.7109375" style="32" customWidth="1"/>
    <col min="4" max="4" width="5.42578125" style="25" customWidth="1"/>
    <col min="5" max="5" width="14.85546875" style="25" customWidth="1"/>
    <col min="6" max="6" width="9.140625" style="25"/>
    <col min="7" max="7" width="12" style="25" customWidth="1"/>
    <col min="8" max="8" width="14.140625" style="32" customWidth="1"/>
    <col min="9" max="9" width="22.5703125" style="25" customWidth="1"/>
    <col min="10" max="10" width="25.140625" style="25" customWidth="1"/>
    <col min="11" max="11" width="15.7109375" style="25" customWidth="1"/>
    <col min="12" max="12" width="14.140625" style="25" customWidth="1"/>
    <col min="13" max="13" width="9.5703125" style="25" customWidth="1"/>
    <col min="14" max="14" width="14.140625" style="25" customWidth="1"/>
    <col min="15" max="15" width="23.42578125" style="25" customWidth="1"/>
    <col min="16" max="16" width="16.5703125" style="25" customWidth="1"/>
    <col min="17" max="17" width="41" style="25" customWidth="1"/>
    <col min="18" max="16384" width="9.140625" style="25"/>
  </cols>
  <sheetData>
    <row r="1" spans="1:16" ht="15.75">
      <c r="A1" s="74" t="s">
        <v>62</v>
      </c>
      <c r="I1" s="75" t="s">
        <v>63</v>
      </c>
      <c r="J1" s="76" t="s">
        <v>64</v>
      </c>
    </row>
    <row r="2" spans="1:16">
      <c r="I2" s="77" t="s">
        <v>65</v>
      </c>
      <c r="J2" s="78" t="s">
        <v>66</v>
      </c>
    </row>
    <row r="3" spans="1:16">
      <c r="A3" s="79" t="s">
        <v>67</v>
      </c>
      <c r="I3" s="77" t="s">
        <v>68</v>
      </c>
      <c r="J3" s="78" t="s">
        <v>69</v>
      </c>
    </row>
    <row r="4" spans="1:16">
      <c r="I4" s="77" t="s">
        <v>70</v>
      </c>
      <c r="J4" s="78" t="s">
        <v>69</v>
      </c>
    </row>
    <row r="5" spans="1:16" ht="13.5" thickBot="1">
      <c r="I5" s="80" t="s">
        <v>71</v>
      </c>
      <c r="J5" s="81" t="s">
        <v>72</v>
      </c>
    </row>
    <row r="10" spans="1:16" ht="13.5" thickBot="1"/>
    <row r="11" spans="1:16" ht="12.75" customHeight="1" thickBot="1">
      <c r="A11" s="32" t="str">
        <f t="shared" ref="A11:A33" si="0">P11</f>
        <v>IBVS 5231 </v>
      </c>
      <c r="B11" s="5" t="str">
        <f t="shared" ref="B11:B33" si="1">IF(H11=INT(H11),"I","II")</f>
        <v>I</v>
      </c>
      <c r="C11" s="32">
        <f t="shared" ref="C11:C33" si="2">1*G11</f>
        <v>45901.652000000002</v>
      </c>
      <c r="D11" s="25" t="str">
        <f t="shared" ref="D11:D33" si="3">VLOOKUP(F11,I$1:J$5,2,FALSE)</f>
        <v>vis</v>
      </c>
      <c r="E11" s="82">
        <f>VLOOKUP(C11,Active!C$21:E$973,3,FALSE)</f>
        <v>-8550.9949792010993</v>
      </c>
      <c r="F11" s="5" t="s">
        <v>71</v>
      </c>
      <c r="G11" s="25" t="str">
        <f t="shared" ref="G11:G33" si="4">MID(I11,3,LEN(I11)-3)</f>
        <v>45901.652</v>
      </c>
      <c r="H11" s="32">
        <f t="shared" ref="H11:H33" si="5">1*K11</f>
        <v>-8094</v>
      </c>
      <c r="I11" s="83" t="s">
        <v>73</v>
      </c>
      <c r="J11" s="84" t="s">
        <v>74</v>
      </c>
      <c r="K11" s="83">
        <v>-8094</v>
      </c>
      <c r="L11" s="83" t="s">
        <v>75</v>
      </c>
      <c r="M11" s="84" t="s">
        <v>76</v>
      </c>
      <c r="N11" s="84"/>
      <c r="O11" s="85" t="s">
        <v>77</v>
      </c>
      <c r="P11" s="86" t="s">
        <v>78</v>
      </c>
    </row>
    <row r="12" spans="1:16" ht="12.75" customHeight="1" thickBot="1">
      <c r="A12" s="32" t="str">
        <f t="shared" si="0"/>
        <v>IBVS 5231 </v>
      </c>
      <c r="B12" s="5" t="str">
        <f t="shared" si="1"/>
        <v>I</v>
      </c>
      <c r="C12" s="32">
        <f t="shared" si="2"/>
        <v>46116.891000000003</v>
      </c>
      <c r="D12" s="25" t="str">
        <f t="shared" si="3"/>
        <v>vis</v>
      </c>
      <c r="E12" s="82">
        <f>VLOOKUP(C12,Active!C$21:E$973,3,FALSE)</f>
        <v>-8286.9921190703008</v>
      </c>
      <c r="F12" s="5" t="s">
        <v>71</v>
      </c>
      <c r="G12" s="25" t="str">
        <f t="shared" si="4"/>
        <v>46116.891</v>
      </c>
      <c r="H12" s="32">
        <f t="shared" si="5"/>
        <v>-7830</v>
      </c>
      <c r="I12" s="83" t="s">
        <v>79</v>
      </c>
      <c r="J12" s="84" t="s">
        <v>80</v>
      </c>
      <c r="K12" s="83">
        <v>-7830</v>
      </c>
      <c r="L12" s="83" t="s">
        <v>81</v>
      </c>
      <c r="M12" s="84" t="s">
        <v>76</v>
      </c>
      <c r="N12" s="84"/>
      <c r="O12" s="85" t="s">
        <v>77</v>
      </c>
      <c r="P12" s="86" t="s">
        <v>78</v>
      </c>
    </row>
    <row r="13" spans="1:16" ht="12.75" customHeight="1" thickBot="1">
      <c r="A13" s="32" t="str">
        <f t="shared" si="0"/>
        <v>IBVS 5231 </v>
      </c>
      <c r="B13" s="5" t="str">
        <f t="shared" si="1"/>
        <v>II</v>
      </c>
      <c r="C13" s="32">
        <f t="shared" si="2"/>
        <v>51738.719700000001</v>
      </c>
      <c r="D13" s="25" t="str">
        <f t="shared" si="3"/>
        <v>vis</v>
      </c>
      <c r="E13" s="82">
        <f>VLOOKUP(C13,Active!C$21:E$973,3,FALSE)</f>
        <v>-1391.4998710790094</v>
      </c>
      <c r="F13" s="5" t="s">
        <v>71</v>
      </c>
      <c r="G13" s="25" t="str">
        <f t="shared" si="4"/>
        <v>51738.7197</v>
      </c>
      <c r="H13" s="32">
        <f t="shared" si="5"/>
        <v>-934.5</v>
      </c>
      <c r="I13" s="83" t="s">
        <v>82</v>
      </c>
      <c r="J13" s="84" t="s">
        <v>83</v>
      </c>
      <c r="K13" s="83">
        <v>-934.5</v>
      </c>
      <c r="L13" s="83" t="s">
        <v>84</v>
      </c>
      <c r="M13" s="84" t="s">
        <v>85</v>
      </c>
      <c r="N13" s="84" t="s">
        <v>86</v>
      </c>
      <c r="O13" s="85" t="s">
        <v>77</v>
      </c>
      <c r="P13" s="86" t="s">
        <v>78</v>
      </c>
    </row>
    <row r="14" spans="1:16" ht="12.75" customHeight="1" thickBot="1">
      <c r="A14" s="32" t="str">
        <f t="shared" si="0"/>
        <v>IBVS 5231 </v>
      </c>
      <c r="B14" s="5" t="str">
        <f t="shared" si="1"/>
        <v>I</v>
      </c>
      <c r="C14" s="32">
        <f t="shared" si="2"/>
        <v>51740.759400000003</v>
      </c>
      <c r="D14" s="25" t="str">
        <f t="shared" si="3"/>
        <v>vis</v>
      </c>
      <c r="E14" s="82">
        <f>VLOOKUP(C14,Active!C$21:E$973,3,FALSE)</f>
        <v>-1388.9980631640447</v>
      </c>
      <c r="F14" s="5" t="s">
        <v>71</v>
      </c>
      <c r="G14" s="25" t="str">
        <f t="shared" si="4"/>
        <v>51740.7594</v>
      </c>
      <c r="H14" s="32">
        <f t="shared" si="5"/>
        <v>-932</v>
      </c>
      <c r="I14" s="83" t="s">
        <v>87</v>
      </c>
      <c r="J14" s="84" t="s">
        <v>88</v>
      </c>
      <c r="K14" s="83">
        <v>-932</v>
      </c>
      <c r="L14" s="83" t="s">
        <v>89</v>
      </c>
      <c r="M14" s="84" t="s">
        <v>85</v>
      </c>
      <c r="N14" s="84" t="s">
        <v>86</v>
      </c>
      <c r="O14" s="85" t="s">
        <v>77</v>
      </c>
      <c r="P14" s="86" t="s">
        <v>78</v>
      </c>
    </row>
    <row r="15" spans="1:16" ht="12.75" customHeight="1" thickBot="1">
      <c r="A15" s="32" t="str">
        <f t="shared" si="0"/>
        <v>IBVS 5231 </v>
      </c>
      <c r="B15" s="5" t="str">
        <f t="shared" si="1"/>
        <v>II</v>
      </c>
      <c r="C15" s="32">
        <f t="shared" si="2"/>
        <v>51747.688300000002</v>
      </c>
      <c r="D15" s="25" t="str">
        <f t="shared" si="3"/>
        <v>vis</v>
      </c>
      <c r="E15" s="82">
        <f>VLOOKUP(C15,Active!C$21:E$973,3,FALSE)</f>
        <v>-1380.4993737185443</v>
      </c>
      <c r="F15" s="5" t="s">
        <v>71</v>
      </c>
      <c r="G15" s="25" t="str">
        <f t="shared" si="4"/>
        <v>51747.6883</v>
      </c>
      <c r="H15" s="32">
        <f t="shared" si="5"/>
        <v>-923.5</v>
      </c>
      <c r="I15" s="83" t="s">
        <v>90</v>
      </c>
      <c r="J15" s="84" t="s">
        <v>91</v>
      </c>
      <c r="K15" s="83">
        <v>-923.5</v>
      </c>
      <c r="L15" s="83" t="s">
        <v>92</v>
      </c>
      <c r="M15" s="84" t="s">
        <v>85</v>
      </c>
      <c r="N15" s="84" t="s">
        <v>86</v>
      </c>
      <c r="O15" s="85" t="s">
        <v>77</v>
      </c>
      <c r="P15" s="86" t="s">
        <v>78</v>
      </c>
    </row>
    <row r="16" spans="1:16" ht="12.75" customHeight="1" thickBot="1">
      <c r="A16" s="32" t="str">
        <f t="shared" si="0"/>
        <v>IBVS 5231 </v>
      </c>
      <c r="B16" s="5" t="str">
        <f t="shared" si="1"/>
        <v>I</v>
      </c>
      <c r="C16" s="32">
        <f t="shared" si="2"/>
        <v>51753.802799999998</v>
      </c>
      <c r="D16" s="25" t="str">
        <f t="shared" si="3"/>
        <v>vis</v>
      </c>
      <c r="E16" s="82">
        <f>VLOOKUP(C16,Active!C$21:E$973,3,FALSE)</f>
        <v>-1372.9995921349619</v>
      </c>
      <c r="F16" s="5" t="s">
        <v>71</v>
      </c>
      <c r="G16" s="25" t="str">
        <f t="shared" si="4"/>
        <v>51753.8028</v>
      </c>
      <c r="H16" s="32">
        <f t="shared" si="5"/>
        <v>-916</v>
      </c>
      <c r="I16" s="83" t="s">
        <v>93</v>
      </c>
      <c r="J16" s="84" t="s">
        <v>94</v>
      </c>
      <c r="K16" s="83">
        <v>-916</v>
      </c>
      <c r="L16" s="83" t="s">
        <v>95</v>
      </c>
      <c r="M16" s="84" t="s">
        <v>85</v>
      </c>
      <c r="N16" s="84" t="s">
        <v>86</v>
      </c>
      <c r="O16" s="85" t="s">
        <v>77</v>
      </c>
      <c r="P16" s="86" t="s">
        <v>78</v>
      </c>
    </row>
    <row r="17" spans="1:16" ht="12.75" customHeight="1" thickBot="1">
      <c r="A17" s="32" t="str">
        <f t="shared" si="0"/>
        <v>IBVS 5231 </v>
      </c>
      <c r="B17" s="5" t="str">
        <f t="shared" si="1"/>
        <v>I</v>
      </c>
      <c r="C17" s="32">
        <f t="shared" si="2"/>
        <v>51767.664100000002</v>
      </c>
      <c r="D17" s="25" t="str">
        <f t="shared" si="3"/>
        <v>vis</v>
      </c>
      <c r="E17" s="82">
        <f>VLOOKUP(C17,Active!C$21:E$973,3,FALSE)</f>
        <v>-1355.997920295137</v>
      </c>
      <c r="F17" s="5" t="s">
        <v>71</v>
      </c>
      <c r="G17" s="25" t="str">
        <f t="shared" si="4"/>
        <v>51767.6641</v>
      </c>
      <c r="H17" s="32">
        <f t="shared" si="5"/>
        <v>-899</v>
      </c>
      <c r="I17" s="83" t="s">
        <v>96</v>
      </c>
      <c r="J17" s="84" t="s">
        <v>97</v>
      </c>
      <c r="K17" s="83">
        <v>-899</v>
      </c>
      <c r="L17" s="83" t="s">
        <v>98</v>
      </c>
      <c r="M17" s="84" t="s">
        <v>85</v>
      </c>
      <c r="N17" s="84" t="s">
        <v>86</v>
      </c>
      <c r="O17" s="85" t="s">
        <v>77</v>
      </c>
      <c r="P17" s="86" t="s">
        <v>78</v>
      </c>
    </row>
    <row r="18" spans="1:16" ht="12.75" customHeight="1" thickBot="1">
      <c r="A18" s="32" t="str">
        <f t="shared" si="0"/>
        <v>IBVS 5231 </v>
      </c>
      <c r="B18" s="5" t="str">
        <f t="shared" si="1"/>
        <v>I</v>
      </c>
      <c r="C18" s="32">
        <f t="shared" si="2"/>
        <v>52084.811800000003</v>
      </c>
      <c r="D18" s="25" t="str">
        <f t="shared" si="3"/>
        <v>vis</v>
      </c>
      <c r="E18" s="82">
        <f>VLOOKUP(C18,Active!C$21:E$973,3,FALSE)</f>
        <v>-966.99825070038787</v>
      </c>
      <c r="F18" s="5" t="s">
        <v>71</v>
      </c>
      <c r="G18" s="25" t="str">
        <f t="shared" si="4"/>
        <v>52084.8118</v>
      </c>
      <c r="H18" s="32">
        <f t="shared" si="5"/>
        <v>-510</v>
      </c>
      <c r="I18" s="83" t="s">
        <v>99</v>
      </c>
      <c r="J18" s="84" t="s">
        <v>100</v>
      </c>
      <c r="K18" s="83">
        <v>-510</v>
      </c>
      <c r="L18" s="83" t="s">
        <v>101</v>
      </c>
      <c r="M18" s="84" t="s">
        <v>85</v>
      </c>
      <c r="N18" s="84" t="s">
        <v>86</v>
      </c>
      <c r="O18" s="85" t="s">
        <v>77</v>
      </c>
      <c r="P18" s="86" t="s">
        <v>78</v>
      </c>
    </row>
    <row r="19" spans="1:16" ht="12.75" customHeight="1" thickBot="1">
      <c r="A19" s="32" t="str">
        <f t="shared" si="0"/>
        <v> BBS 128 </v>
      </c>
      <c r="B19" s="5" t="str">
        <f t="shared" si="1"/>
        <v>I</v>
      </c>
      <c r="C19" s="32">
        <f t="shared" si="2"/>
        <v>52395.438999999998</v>
      </c>
      <c r="D19" s="25" t="str">
        <f t="shared" si="3"/>
        <v>vis</v>
      </c>
      <c r="E19" s="82">
        <f>VLOOKUP(C19,Active!C$21:E$973,3,FALSE)</f>
        <v>-585.99634475202458</v>
      </c>
      <c r="F19" s="5" t="s">
        <v>71</v>
      </c>
      <c r="G19" s="25" t="str">
        <f t="shared" si="4"/>
        <v>52395.439</v>
      </c>
      <c r="H19" s="32">
        <f t="shared" si="5"/>
        <v>-129</v>
      </c>
      <c r="I19" s="83" t="s">
        <v>102</v>
      </c>
      <c r="J19" s="84" t="s">
        <v>103</v>
      </c>
      <c r="K19" s="83">
        <v>-129</v>
      </c>
      <c r="L19" s="83" t="s">
        <v>104</v>
      </c>
      <c r="M19" s="84" t="s">
        <v>105</v>
      </c>
      <c r="N19" s="84"/>
      <c r="O19" s="85" t="s">
        <v>106</v>
      </c>
      <c r="P19" s="85" t="s">
        <v>107</v>
      </c>
    </row>
    <row r="20" spans="1:16" ht="12.75" customHeight="1" thickBot="1">
      <c r="A20" s="32" t="str">
        <f t="shared" si="0"/>
        <v> BBS 128 </v>
      </c>
      <c r="B20" s="5" t="str">
        <f t="shared" si="1"/>
        <v>I</v>
      </c>
      <c r="C20" s="32">
        <f t="shared" si="2"/>
        <v>52412.565999999999</v>
      </c>
      <c r="D20" s="25" t="str">
        <f t="shared" si="3"/>
        <v>vis</v>
      </c>
      <c r="E20" s="82">
        <f>VLOOKUP(C20,Active!C$21:E$973,3,FALSE)</f>
        <v>-564.98910635442815</v>
      </c>
      <c r="F20" s="5" t="s">
        <v>71</v>
      </c>
      <c r="G20" s="25" t="str">
        <f t="shared" si="4"/>
        <v>52412.566</v>
      </c>
      <c r="H20" s="32">
        <f t="shared" si="5"/>
        <v>-108</v>
      </c>
      <c r="I20" s="83" t="s">
        <v>108</v>
      </c>
      <c r="J20" s="84" t="s">
        <v>109</v>
      </c>
      <c r="K20" s="83">
        <v>-108</v>
      </c>
      <c r="L20" s="83" t="s">
        <v>110</v>
      </c>
      <c r="M20" s="84" t="s">
        <v>105</v>
      </c>
      <c r="N20" s="84"/>
      <c r="O20" s="85" t="s">
        <v>106</v>
      </c>
      <c r="P20" s="85" t="s">
        <v>107</v>
      </c>
    </row>
    <row r="21" spans="1:16" ht="12.75" customHeight="1" thickBot="1">
      <c r="A21" s="32" t="str">
        <f t="shared" si="0"/>
        <v> BBS 128 </v>
      </c>
      <c r="B21" s="5" t="str">
        <f t="shared" si="1"/>
        <v>I</v>
      </c>
      <c r="C21" s="32">
        <f t="shared" si="2"/>
        <v>52426.430999999997</v>
      </c>
      <c r="D21" s="25" t="str">
        <f t="shared" si="3"/>
        <v>vis</v>
      </c>
      <c r="E21" s="82">
        <f>VLOOKUP(C21,Active!C$21:E$973,3,FALSE)</f>
        <v>-547.98289625443249</v>
      </c>
      <c r="F21" s="5" t="s">
        <v>71</v>
      </c>
      <c r="G21" s="25" t="str">
        <f t="shared" si="4"/>
        <v>52426.431</v>
      </c>
      <c r="H21" s="32">
        <f t="shared" si="5"/>
        <v>-91</v>
      </c>
      <c r="I21" s="83" t="s">
        <v>111</v>
      </c>
      <c r="J21" s="84" t="s">
        <v>112</v>
      </c>
      <c r="K21" s="83">
        <v>-91</v>
      </c>
      <c r="L21" s="83" t="s">
        <v>113</v>
      </c>
      <c r="M21" s="84" t="s">
        <v>105</v>
      </c>
      <c r="N21" s="84"/>
      <c r="O21" s="85" t="s">
        <v>106</v>
      </c>
      <c r="P21" s="85" t="s">
        <v>107</v>
      </c>
    </row>
    <row r="22" spans="1:16" ht="12.75" customHeight="1" thickBot="1">
      <c r="A22" s="32" t="str">
        <f t="shared" si="0"/>
        <v> BBS 128 </v>
      </c>
      <c r="B22" s="5" t="str">
        <f t="shared" si="1"/>
        <v>I</v>
      </c>
      <c r="C22" s="32">
        <f t="shared" si="2"/>
        <v>52501.434000000001</v>
      </c>
      <c r="D22" s="25" t="str">
        <f t="shared" si="3"/>
        <v>vis</v>
      </c>
      <c r="E22" s="82">
        <f>VLOOKUP(C22,Active!C$21:E$973,3,FALSE)</f>
        <v>-455.98745621619014</v>
      </c>
      <c r="F22" s="5" t="s">
        <v>71</v>
      </c>
      <c r="G22" s="25" t="str">
        <f t="shared" si="4"/>
        <v>52501.434</v>
      </c>
      <c r="H22" s="32">
        <f t="shared" si="5"/>
        <v>1</v>
      </c>
      <c r="I22" s="83" t="s">
        <v>114</v>
      </c>
      <c r="J22" s="84" t="s">
        <v>115</v>
      </c>
      <c r="K22" s="83">
        <v>1</v>
      </c>
      <c r="L22" s="83" t="s">
        <v>116</v>
      </c>
      <c r="M22" s="84" t="s">
        <v>105</v>
      </c>
      <c r="N22" s="84"/>
      <c r="O22" s="85" t="s">
        <v>106</v>
      </c>
      <c r="P22" s="85" t="s">
        <v>107</v>
      </c>
    </row>
    <row r="23" spans="1:16" ht="12.75" customHeight="1" thickBot="1">
      <c r="A23" s="32" t="str">
        <f t="shared" si="0"/>
        <v> BBS 129 </v>
      </c>
      <c r="B23" s="5" t="str">
        <f t="shared" si="1"/>
        <v>I</v>
      </c>
      <c r="C23" s="32">
        <f t="shared" si="2"/>
        <v>52792.489000000001</v>
      </c>
      <c r="D23" s="25" t="str">
        <f t="shared" si="3"/>
        <v>vis</v>
      </c>
      <c r="E23" s="82">
        <f>VLOOKUP(C23,Active!C$21:E$973,3,FALSE)</f>
        <v>-98.99196536476876</v>
      </c>
      <c r="F23" s="5" t="s">
        <v>71</v>
      </c>
      <c r="G23" s="25" t="str">
        <f t="shared" si="4"/>
        <v>52792.489</v>
      </c>
      <c r="H23" s="32">
        <f t="shared" si="5"/>
        <v>358</v>
      </c>
      <c r="I23" s="83" t="s">
        <v>117</v>
      </c>
      <c r="J23" s="84" t="s">
        <v>118</v>
      </c>
      <c r="K23" s="83">
        <v>358</v>
      </c>
      <c r="L23" s="83" t="s">
        <v>119</v>
      </c>
      <c r="M23" s="84" t="s">
        <v>105</v>
      </c>
      <c r="N23" s="84"/>
      <c r="O23" s="85" t="s">
        <v>106</v>
      </c>
      <c r="P23" s="85" t="s">
        <v>120</v>
      </c>
    </row>
    <row r="24" spans="1:16" ht="12.75" customHeight="1" thickBot="1">
      <c r="A24" s="32" t="str">
        <f t="shared" si="0"/>
        <v>IBVS 5592 </v>
      </c>
      <c r="B24" s="5" t="str">
        <f t="shared" si="1"/>
        <v>I</v>
      </c>
      <c r="C24" s="32">
        <f t="shared" si="2"/>
        <v>52873.196199999998</v>
      </c>
      <c r="D24" s="25" t="str">
        <f t="shared" si="3"/>
        <v>vis</v>
      </c>
      <c r="E24" s="82">
        <f>VLOOKUP(C24,Active!C$21:E$973,3,FALSE)</f>
        <v>0</v>
      </c>
      <c r="F24" s="5" t="s">
        <v>71</v>
      </c>
      <c r="G24" s="25" t="str">
        <f t="shared" si="4"/>
        <v>52873.1962</v>
      </c>
      <c r="H24" s="32">
        <f t="shared" si="5"/>
        <v>457</v>
      </c>
      <c r="I24" s="83" t="s">
        <v>121</v>
      </c>
      <c r="J24" s="84" t="s">
        <v>122</v>
      </c>
      <c r="K24" s="83">
        <v>457</v>
      </c>
      <c r="L24" s="83" t="s">
        <v>123</v>
      </c>
      <c r="M24" s="84" t="s">
        <v>85</v>
      </c>
      <c r="N24" s="84" t="s">
        <v>86</v>
      </c>
      <c r="O24" s="85" t="s">
        <v>124</v>
      </c>
      <c r="P24" s="86" t="s">
        <v>125</v>
      </c>
    </row>
    <row r="25" spans="1:16" ht="12.75" customHeight="1" thickBot="1">
      <c r="A25" s="32" t="str">
        <f t="shared" si="0"/>
        <v>IBVS 5592 </v>
      </c>
      <c r="B25" s="5" t="str">
        <f t="shared" si="1"/>
        <v>II</v>
      </c>
      <c r="C25" s="32">
        <f t="shared" si="2"/>
        <v>53130.421300000002</v>
      </c>
      <c r="D25" s="25" t="str">
        <f t="shared" si="3"/>
        <v>vis</v>
      </c>
      <c r="E25" s="82">
        <f>VLOOKUP(C25,Active!C$21:E$973,3,FALSE)</f>
        <v>315.50119679719307</v>
      </c>
      <c r="F25" s="5" t="s">
        <v>71</v>
      </c>
      <c r="G25" s="25" t="str">
        <f t="shared" si="4"/>
        <v>53130.4213</v>
      </c>
      <c r="H25" s="32">
        <f t="shared" si="5"/>
        <v>772.5</v>
      </c>
      <c r="I25" s="83" t="s">
        <v>126</v>
      </c>
      <c r="J25" s="84" t="s">
        <v>127</v>
      </c>
      <c r="K25" s="83">
        <v>772.5</v>
      </c>
      <c r="L25" s="83" t="s">
        <v>128</v>
      </c>
      <c r="M25" s="84" t="s">
        <v>85</v>
      </c>
      <c r="N25" s="84" t="s">
        <v>86</v>
      </c>
      <c r="O25" s="85" t="s">
        <v>124</v>
      </c>
      <c r="P25" s="86" t="s">
        <v>125</v>
      </c>
    </row>
    <row r="26" spans="1:16" ht="12.75" customHeight="1" thickBot="1">
      <c r="A26" s="32" t="str">
        <f t="shared" si="0"/>
        <v> BBS 130 </v>
      </c>
      <c r="B26" s="5" t="str">
        <f t="shared" si="1"/>
        <v>I</v>
      </c>
      <c r="C26" s="32">
        <f t="shared" si="2"/>
        <v>53149.584999999999</v>
      </c>
      <c r="D26" s="25" t="str">
        <f t="shared" si="3"/>
        <v>vis</v>
      </c>
      <c r="E26" s="82">
        <f>VLOOKUP(C26,Active!C$21:E$973,3,FALSE)</f>
        <v>339.00656343933434</v>
      </c>
      <c r="F26" s="5" t="s">
        <v>71</v>
      </c>
      <c r="G26" s="25" t="str">
        <f t="shared" si="4"/>
        <v>53149.585</v>
      </c>
      <c r="H26" s="32">
        <f t="shared" si="5"/>
        <v>796</v>
      </c>
      <c r="I26" s="83" t="s">
        <v>129</v>
      </c>
      <c r="J26" s="84" t="s">
        <v>130</v>
      </c>
      <c r="K26" s="83">
        <v>796</v>
      </c>
      <c r="L26" s="83" t="s">
        <v>131</v>
      </c>
      <c r="M26" s="84" t="s">
        <v>105</v>
      </c>
      <c r="N26" s="84"/>
      <c r="O26" s="85" t="s">
        <v>106</v>
      </c>
      <c r="P26" s="85" t="s">
        <v>132</v>
      </c>
    </row>
    <row r="27" spans="1:16" ht="12.75" customHeight="1" thickBot="1">
      <c r="A27" s="32" t="str">
        <f t="shared" si="0"/>
        <v>OEJV 0003 </v>
      </c>
      <c r="B27" s="5" t="str">
        <f t="shared" si="1"/>
        <v>I</v>
      </c>
      <c r="C27" s="32">
        <f t="shared" si="2"/>
        <v>53440.646999999997</v>
      </c>
      <c r="D27" s="25" t="str">
        <f t="shared" si="3"/>
        <v>vis</v>
      </c>
      <c r="E27" s="82">
        <f>VLOOKUP(C27,Active!C$21:E$973,3,FALSE)</f>
        <v>696.01064018838736</v>
      </c>
      <c r="F27" s="5" t="s">
        <v>71</v>
      </c>
      <c r="G27" s="25" t="str">
        <f t="shared" si="4"/>
        <v>53440.647</v>
      </c>
      <c r="H27" s="32">
        <f t="shared" si="5"/>
        <v>1153</v>
      </c>
      <c r="I27" s="83" t="s">
        <v>133</v>
      </c>
      <c r="J27" s="84" t="s">
        <v>134</v>
      </c>
      <c r="K27" s="83">
        <v>1153</v>
      </c>
      <c r="L27" s="83" t="s">
        <v>135</v>
      </c>
      <c r="M27" s="84" t="s">
        <v>105</v>
      </c>
      <c r="N27" s="84"/>
      <c r="O27" s="85" t="s">
        <v>106</v>
      </c>
      <c r="P27" s="86" t="s">
        <v>136</v>
      </c>
    </row>
    <row r="28" spans="1:16" ht="12.75" customHeight="1" thickBot="1">
      <c r="A28" s="32" t="str">
        <f t="shared" si="0"/>
        <v>BAVM 178 </v>
      </c>
      <c r="B28" s="5" t="str">
        <f t="shared" si="1"/>
        <v>II</v>
      </c>
      <c r="C28" s="32">
        <f t="shared" si="2"/>
        <v>53518.500999999997</v>
      </c>
      <c r="D28" s="25" t="str">
        <f t="shared" si="3"/>
        <v>vis</v>
      </c>
      <c r="E28" s="82">
        <f>VLOOKUP(C28,Active!C$21:E$973,3,FALSE)</f>
        <v>791.50299367740593</v>
      </c>
      <c r="F28" s="5" t="s">
        <v>71</v>
      </c>
      <c r="G28" s="25" t="str">
        <f t="shared" si="4"/>
        <v>53518.5010</v>
      </c>
      <c r="H28" s="32">
        <f t="shared" si="5"/>
        <v>1248.5</v>
      </c>
      <c r="I28" s="83" t="s">
        <v>137</v>
      </c>
      <c r="J28" s="84" t="s">
        <v>138</v>
      </c>
      <c r="K28" s="83">
        <v>1248.5</v>
      </c>
      <c r="L28" s="83" t="s">
        <v>84</v>
      </c>
      <c r="M28" s="84" t="s">
        <v>139</v>
      </c>
      <c r="N28" s="84" t="s">
        <v>140</v>
      </c>
      <c r="O28" s="85" t="s">
        <v>141</v>
      </c>
      <c r="P28" s="86" t="s">
        <v>142</v>
      </c>
    </row>
    <row r="29" spans="1:16" ht="12.75" customHeight="1" thickBot="1">
      <c r="A29" s="32" t="str">
        <f t="shared" si="0"/>
        <v>IBVS 5662 </v>
      </c>
      <c r="B29" s="5" t="str">
        <f t="shared" si="1"/>
        <v>I</v>
      </c>
      <c r="C29" s="32">
        <f t="shared" si="2"/>
        <v>53596.361299999997</v>
      </c>
      <c r="D29" s="25" t="str">
        <f t="shared" si="3"/>
        <v>vis</v>
      </c>
      <c r="E29" s="82">
        <f>VLOOKUP(C29,Active!C$21:E$973,3,FALSE)</f>
        <v>887.00307447429645</v>
      </c>
      <c r="F29" s="5" t="s">
        <v>71</v>
      </c>
      <c r="G29" s="25" t="str">
        <f t="shared" si="4"/>
        <v>53596.3613</v>
      </c>
      <c r="H29" s="32">
        <f t="shared" si="5"/>
        <v>1344</v>
      </c>
      <c r="I29" s="83" t="s">
        <v>143</v>
      </c>
      <c r="J29" s="84" t="s">
        <v>144</v>
      </c>
      <c r="K29" s="83" t="s">
        <v>145</v>
      </c>
      <c r="L29" s="83" t="s">
        <v>146</v>
      </c>
      <c r="M29" s="84" t="s">
        <v>85</v>
      </c>
      <c r="N29" s="84" t="s">
        <v>86</v>
      </c>
      <c r="O29" s="85" t="s">
        <v>147</v>
      </c>
      <c r="P29" s="86" t="s">
        <v>148</v>
      </c>
    </row>
    <row r="30" spans="1:16" ht="12.75" customHeight="1" thickBot="1">
      <c r="A30" s="32" t="str">
        <f t="shared" si="0"/>
        <v>BAVM 186 </v>
      </c>
      <c r="B30" s="5" t="str">
        <f t="shared" si="1"/>
        <v>I</v>
      </c>
      <c r="C30" s="32">
        <f t="shared" si="2"/>
        <v>54200.491800000003</v>
      </c>
      <c r="D30" s="25" t="str">
        <f t="shared" si="3"/>
        <v>vis</v>
      </c>
      <c r="E30" s="82">
        <f>VLOOKUP(C30,Active!C$21:E$973,3,FALSE)</f>
        <v>1628.0034502995418</v>
      </c>
      <c r="F30" s="5" t="s">
        <v>71</v>
      </c>
      <c r="G30" s="25" t="str">
        <f t="shared" si="4"/>
        <v>54200.4918</v>
      </c>
      <c r="H30" s="32">
        <f t="shared" si="5"/>
        <v>2085</v>
      </c>
      <c r="I30" s="83" t="s">
        <v>149</v>
      </c>
      <c r="J30" s="84" t="s">
        <v>150</v>
      </c>
      <c r="K30" s="83" t="s">
        <v>151</v>
      </c>
      <c r="L30" s="83" t="s">
        <v>152</v>
      </c>
      <c r="M30" s="84" t="s">
        <v>139</v>
      </c>
      <c r="N30" s="84" t="s">
        <v>140</v>
      </c>
      <c r="O30" s="85" t="s">
        <v>141</v>
      </c>
      <c r="P30" s="86" t="s">
        <v>153</v>
      </c>
    </row>
    <row r="31" spans="1:16" ht="12.75" customHeight="1" thickBot="1">
      <c r="A31" s="32" t="str">
        <f t="shared" si="0"/>
        <v>BAVM 214 </v>
      </c>
      <c r="B31" s="5" t="str">
        <f t="shared" si="1"/>
        <v>I</v>
      </c>
      <c r="C31" s="32">
        <f t="shared" si="2"/>
        <v>55352.499400000001</v>
      </c>
      <c r="D31" s="25" t="str">
        <f t="shared" si="3"/>
        <v>vis</v>
      </c>
      <c r="E31" s="82">
        <f>VLOOKUP(C31,Active!C$21:E$973,3,FALSE)</f>
        <v>3041.0062113810091</v>
      </c>
      <c r="F31" s="5" t="s">
        <v>71</v>
      </c>
      <c r="G31" s="25" t="str">
        <f t="shared" si="4"/>
        <v>55352.4994</v>
      </c>
      <c r="H31" s="32">
        <f t="shared" si="5"/>
        <v>3498</v>
      </c>
      <c r="I31" s="83" t="s">
        <v>154</v>
      </c>
      <c r="J31" s="84" t="s">
        <v>155</v>
      </c>
      <c r="K31" s="83" t="s">
        <v>156</v>
      </c>
      <c r="L31" s="83" t="s">
        <v>157</v>
      </c>
      <c r="M31" s="84" t="s">
        <v>139</v>
      </c>
      <c r="N31" s="84" t="s">
        <v>140</v>
      </c>
      <c r="O31" s="85" t="s">
        <v>141</v>
      </c>
      <c r="P31" s="86" t="s">
        <v>158</v>
      </c>
    </row>
    <row r="32" spans="1:16" ht="12.75" customHeight="1" thickBot="1">
      <c r="A32" s="32" t="str">
        <f t="shared" si="0"/>
        <v>IBVS 5992 </v>
      </c>
      <c r="B32" s="5" t="str">
        <f t="shared" si="1"/>
        <v>I</v>
      </c>
      <c r="C32" s="32">
        <f t="shared" si="2"/>
        <v>55672.908199999998</v>
      </c>
      <c r="D32" s="25" t="str">
        <f t="shared" si="3"/>
        <v>vis</v>
      </c>
      <c r="E32" s="82">
        <f>VLOOKUP(C32,Active!C$21:E$973,3,FALSE)</f>
        <v>3434.0058053722269</v>
      </c>
      <c r="F32" s="5" t="s">
        <v>71</v>
      </c>
      <c r="G32" s="25" t="str">
        <f t="shared" si="4"/>
        <v>55672.9082</v>
      </c>
      <c r="H32" s="32">
        <f t="shared" si="5"/>
        <v>3891</v>
      </c>
      <c r="I32" s="83" t="s">
        <v>159</v>
      </c>
      <c r="J32" s="84" t="s">
        <v>160</v>
      </c>
      <c r="K32" s="83" t="s">
        <v>161</v>
      </c>
      <c r="L32" s="83" t="s">
        <v>152</v>
      </c>
      <c r="M32" s="84" t="s">
        <v>139</v>
      </c>
      <c r="N32" s="84" t="s">
        <v>71</v>
      </c>
      <c r="O32" s="85" t="s">
        <v>162</v>
      </c>
      <c r="P32" s="86" t="s">
        <v>163</v>
      </c>
    </row>
    <row r="33" spans="1:16" ht="12.75" customHeight="1" thickBot="1">
      <c r="A33" s="32" t="str">
        <f t="shared" si="0"/>
        <v>IBVS 6029 </v>
      </c>
      <c r="B33" s="5" t="str">
        <f t="shared" si="1"/>
        <v>I</v>
      </c>
      <c r="C33" s="32">
        <f t="shared" si="2"/>
        <v>56052.831700000002</v>
      </c>
      <c r="D33" s="25" t="str">
        <f t="shared" si="3"/>
        <v>vis</v>
      </c>
      <c r="E33" s="82">
        <f>VLOOKUP(C33,Active!C$21:E$973,3,FALSE)</f>
        <v>3900.0035596402909</v>
      </c>
      <c r="F33" s="5" t="s">
        <v>71</v>
      </c>
      <c r="G33" s="25" t="str">
        <f t="shared" si="4"/>
        <v>56052.8317</v>
      </c>
      <c r="H33" s="32">
        <f t="shared" si="5"/>
        <v>4357</v>
      </c>
      <c r="I33" s="83" t="s">
        <v>164</v>
      </c>
      <c r="J33" s="84" t="s">
        <v>165</v>
      </c>
      <c r="K33" s="83" t="s">
        <v>166</v>
      </c>
      <c r="L33" s="83" t="s">
        <v>167</v>
      </c>
      <c r="M33" s="84" t="s">
        <v>139</v>
      </c>
      <c r="N33" s="84" t="s">
        <v>71</v>
      </c>
      <c r="O33" s="85" t="s">
        <v>162</v>
      </c>
      <c r="P33" s="86" t="s">
        <v>168</v>
      </c>
    </row>
    <row r="34" spans="1:16">
      <c r="B34" s="5"/>
      <c r="E34" s="82"/>
      <c r="F34" s="5"/>
    </row>
    <row r="35" spans="1:16">
      <c r="B35" s="5"/>
      <c r="E35" s="82"/>
      <c r="F35" s="5"/>
    </row>
    <row r="36" spans="1:16">
      <c r="B36" s="5"/>
      <c r="E36" s="82"/>
      <c r="F36" s="5"/>
    </row>
    <row r="37" spans="1:16">
      <c r="B37" s="5"/>
      <c r="E37" s="82"/>
      <c r="F37" s="5"/>
    </row>
    <row r="38" spans="1:16">
      <c r="B38" s="5"/>
      <c r="E38" s="82"/>
      <c r="F38" s="5"/>
    </row>
    <row r="39" spans="1:16">
      <c r="B39" s="5"/>
      <c r="E39" s="82"/>
      <c r="F39" s="5"/>
    </row>
    <row r="40" spans="1:16">
      <c r="B40" s="5"/>
      <c r="E40" s="82"/>
      <c r="F40" s="5"/>
    </row>
    <row r="41" spans="1:16">
      <c r="B41" s="5"/>
      <c r="E41" s="82"/>
      <c r="F41" s="5"/>
    </row>
    <row r="42" spans="1:16">
      <c r="B42" s="5"/>
      <c r="E42" s="82"/>
      <c r="F42" s="5"/>
    </row>
    <row r="43" spans="1:16">
      <c r="B43" s="5"/>
      <c r="E43" s="82"/>
      <c r="F43" s="5"/>
    </row>
    <row r="44" spans="1:16">
      <c r="B44" s="5"/>
      <c r="E44" s="82"/>
      <c r="F44" s="5"/>
    </row>
    <row r="45" spans="1:16">
      <c r="B45" s="5"/>
      <c r="E45" s="82"/>
      <c r="F45" s="5"/>
    </row>
    <row r="46" spans="1:16">
      <c r="B46" s="5"/>
      <c r="E46" s="82"/>
      <c r="F46" s="5"/>
    </row>
    <row r="47" spans="1:16">
      <c r="B47" s="5"/>
      <c r="E47" s="82"/>
      <c r="F47" s="5"/>
    </row>
    <row r="48" spans="1:16">
      <c r="B48" s="5"/>
      <c r="E48" s="82"/>
      <c r="F48" s="5"/>
    </row>
    <row r="49" spans="2:6">
      <c r="B49" s="5"/>
      <c r="E49" s="82"/>
      <c r="F49" s="5"/>
    </row>
    <row r="50" spans="2:6">
      <c r="B50" s="5"/>
      <c r="E50" s="82"/>
      <c r="F50" s="5"/>
    </row>
    <row r="51" spans="2:6">
      <c r="B51" s="5"/>
      <c r="E51" s="82"/>
      <c r="F51" s="5"/>
    </row>
    <row r="52" spans="2:6">
      <c r="B52" s="5"/>
      <c r="E52" s="82"/>
      <c r="F52" s="5"/>
    </row>
    <row r="53" spans="2:6">
      <c r="B53" s="5"/>
      <c r="E53" s="82"/>
      <c r="F53" s="5"/>
    </row>
    <row r="54" spans="2:6">
      <c r="B54" s="5"/>
      <c r="E54" s="82"/>
      <c r="F54" s="5"/>
    </row>
    <row r="55" spans="2:6">
      <c r="B55" s="5"/>
      <c r="E55" s="82"/>
      <c r="F55" s="5"/>
    </row>
    <row r="56" spans="2:6">
      <c r="B56" s="5"/>
      <c r="E56" s="82"/>
      <c r="F56" s="5"/>
    </row>
    <row r="57" spans="2:6">
      <c r="B57" s="5"/>
      <c r="E57" s="82"/>
      <c r="F57" s="5"/>
    </row>
    <row r="58" spans="2:6">
      <c r="B58" s="5"/>
      <c r="E58" s="82"/>
      <c r="F58" s="5"/>
    </row>
    <row r="59" spans="2:6">
      <c r="B59" s="5"/>
      <c r="E59" s="82"/>
      <c r="F59" s="5"/>
    </row>
    <row r="60" spans="2:6">
      <c r="B60" s="5"/>
      <c r="E60" s="82"/>
      <c r="F60" s="5"/>
    </row>
    <row r="61" spans="2:6">
      <c r="B61" s="5"/>
      <c r="E61" s="82"/>
      <c r="F61" s="5"/>
    </row>
    <row r="62" spans="2:6">
      <c r="B62" s="5"/>
      <c r="E62" s="82"/>
      <c r="F62" s="5"/>
    </row>
    <row r="63" spans="2:6">
      <c r="B63" s="5"/>
      <c r="E63" s="82"/>
      <c r="F63" s="5"/>
    </row>
    <row r="64" spans="2:6">
      <c r="B64" s="5"/>
      <c r="E64" s="82"/>
      <c r="F64" s="5"/>
    </row>
    <row r="65" spans="2:6">
      <c r="B65" s="5"/>
      <c r="E65" s="82"/>
      <c r="F65" s="5"/>
    </row>
    <row r="66" spans="2:6">
      <c r="B66" s="5"/>
      <c r="E66" s="82"/>
      <c r="F66" s="5"/>
    </row>
    <row r="67" spans="2:6">
      <c r="B67" s="5"/>
      <c r="E67" s="82"/>
      <c r="F67" s="5"/>
    </row>
    <row r="68" spans="2:6">
      <c r="B68" s="5"/>
      <c r="E68" s="82"/>
      <c r="F68" s="5"/>
    </row>
    <row r="69" spans="2:6">
      <c r="B69" s="5"/>
      <c r="E69" s="82"/>
      <c r="F69" s="5"/>
    </row>
    <row r="70" spans="2:6">
      <c r="B70" s="5"/>
      <c r="E70" s="82"/>
      <c r="F70" s="5"/>
    </row>
    <row r="71" spans="2:6">
      <c r="B71" s="5"/>
      <c r="E71" s="82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</sheetData>
  <phoneticPr fontId="8" type="noConversion"/>
  <hyperlinks>
    <hyperlink ref="P11" r:id="rId1" display="http://www.konkoly.hu/cgi-bin/IBVS?5231"/>
    <hyperlink ref="P12" r:id="rId2" display="http://www.konkoly.hu/cgi-bin/IBVS?5231"/>
    <hyperlink ref="P13" r:id="rId3" display="http://www.konkoly.hu/cgi-bin/IBVS?5231"/>
    <hyperlink ref="P14" r:id="rId4" display="http://www.konkoly.hu/cgi-bin/IBVS?5231"/>
    <hyperlink ref="P15" r:id="rId5" display="http://www.konkoly.hu/cgi-bin/IBVS?5231"/>
    <hyperlink ref="P16" r:id="rId6" display="http://www.konkoly.hu/cgi-bin/IBVS?5231"/>
    <hyperlink ref="P17" r:id="rId7" display="http://www.konkoly.hu/cgi-bin/IBVS?5231"/>
    <hyperlink ref="P18" r:id="rId8" display="http://www.konkoly.hu/cgi-bin/IBVS?5231"/>
    <hyperlink ref="P24" r:id="rId9" display="http://www.konkoly.hu/cgi-bin/IBVS?5592"/>
    <hyperlink ref="P25" r:id="rId10" display="http://www.konkoly.hu/cgi-bin/IBVS?5592"/>
    <hyperlink ref="P27" r:id="rId11" display="http://var.astro.cz/oejv/issues/oejv0003.pdf"/>
    <hyperlink ref="P28" r:id="rId12" display="http://www.bav-astro.de/sfs/BAVM_link.php?BAVMnr=178"/>
    <hyperlink ref="P29" r:id="rId13" display="http://www.konkoly.hu/cgi-bin/IBVS?5662"/>
    <hyperlink ref="P30" r:id="rId14" display="http://www.bav-astro.de/sfs/BAVM_link.php?BAVMnr=186"/>
    <hyperlink ref="P31" r:id="rId15" display="http://www.bav-astro.de/sfs/BAVM_link.php?BAVMnr=214"/>
    <hyperlink ref="P32" r:id="rId16" display="http://www.konkoly.hu/cgi-bin/IBVS?5992"/>
    <hyperlink ref="P33" r:id="rId17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2024-02-14T04:47:27Z</dcterms:modified>
</cp:coreProperties>
</file>