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33AA07D-5FC7-4B5C-BB36-2C218C3861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32" i="2" l="1"/>
  <c r="F32" i="2"/>
  <c r="G32" i="2"/>
  <c r="K32" i="2"/>
  <c r="Q32" i="2"/>
  <c r="E33" i="2"/>
  <c r="F33" i="2"/>
  <c r="G33" i="2"/>
  <c r="K33" i="2"/>
  <c r="Q33" i="2"/>
  <c r="E34" i="2"/>
  <c r="F34" i="2"/>
  <c r="G34" i="2"/>
  <c r="K34" i="2"/>
  <c r="Q34" i="2"/>
  <c r="E26" i="2"/>
  <c r="F26" i="2"/>
  <c r="G26" i="2"/>
  <c r="K26" i="2"/>
  <c r="E21" i="2"/>
  <c r="F21" i="2"/>
  <c r="G21" i="2"/>
  <c r="I21" i="2"/>
  <c r="E23" i="2"/>
  <c r="F23" i="2"/>
  <c r="G23" i="2"/>
  <c r="J23" i="2"/>
  <c r="E24" i="2"/>
  <c r="F24" i="2"/>
  <c r="G24" i="2"/>
  <c r="J24" i="2"/>
  <c r="E25" i="2"/>
  <c r="F25" i="2"/>
  <c r="G25" i="2"/>
  <c r="K25" i="2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22" i="2"/>
  <c r="F22" i="2"/>
  <c r="U22" i="2"/>
  <c r="C9" i="2"/>
  <c r="Q26" i="2"/>
  <c r="G17" i="3"/>
  <c r="C17" i="3"/>
  <c r="G16" i="3"/>
  <c r="C16" i="3"/>
  <c r="E16" i="3"/>
  <c r="G15" i="3"/>
  <c r="C15" i="3"/>
  <c r="E15" i="3"/>
  <c r="G14" i="3"/>
  <c r="C14" i="3"/>
  <c r="E14" i="3"/>
  <c r="G18" i="3"/>
  <c r="C18" i="3"/>
  <c r="E18" i="3"/>
  <c r="G13" i="3"/>
  <c r="C13" i="3"/>
  <c r="E13" i="3"/>
  <c r="G12" i="3"/>
  <c r="C12" i="3"/>
  <c r="G11" i="3"/>
  <c r="C11" i="3"/>
  <c r="E11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8" i="3"/>
  <c r="B18" i="3"/>
  <c r="D18" i="3"/>
  <c r="A18" i="3"/>
  <c r="H13" i="3"/>
  <c r="B13" i="3"/>
  <c r="D13" i="3"/>
  <c r="A13" i="3"/>
  <c r="H12" i="3"/>
  <c r="B12" i="3"/>
  <c r="D12" i="3"/>
  <c r="A12" i="3"/>
  <c r="H11" i="3"/>
  <c r="B11" i="3"/>
  <c r="D11" i="3"/>
  <c r="A11" i="3"/>
  <c r="Q31" i="2"/>
  <c r="F4" i="2"/>
  <c r="G4" i="2"/>
  <c r="D9" i="2"/>
  <c r="F16" i="2"/>
  <c r="F17" i="2" s="1"/>
  <c r="C17" i="2"/>
  <c r="Q21" i="2"/>
  <c r="Q22" i="2"/>
  <c r="Q23" i="2"/>
  <c r="Q25" i="2"/>
  <c r="Q24" i="2"/>
  <c r="Q27" i="2"/>
  <c r="Q28" i="2"/>
  <c r="Q29" i="2"/>
  <c r="Q30" i="2"/>
  <c r="E27" i="1"/>
  <c r="F27" i="1"/>
  <c r="G27" i="1"/>
  <c r="I27" i="1"/>
  <c r="E28" i="1"/>
  <c r="F28" i="1"/>
  <c r="G28" i="1"/>
  <c r="I28" i="1"/>
  <c r="E29" i="1"/>
  <c r="F29" i="1"/>
  <c r="G29" i="1"/>
  <c r="I29" i="1"/>
  <c r="G11" i="1"/>
  <c r="F11" i="1"/>
  <c r="Q27" i="1"/>
  <c r="Q28" i="1"/>
  <c r="Q29" i="1"/>
  <c r="E25" i="1"/>
  <c r="F25" i="1"/>
  <c r="G25" i="1"/>
  <c r="H25" i="1"/>
  <c r="E26" i="1"/>
  <c r="F26" i="1"/>
  <c r="G26" i="1"/>
  <c r="H26" i="1"/>
  <c r="Q25" i="1"/>
  <c r="Q26" i="1"/>
  <c r="E24" i="1"/>
  <c r="F24" i="1"/>
  <c r="G24" i="1"/>
  <c r="I24" i="1"/>
  <c r="Q24" i="1"/>
  <c r="E14" i="1"/>
  <c r="E15" i="1" s="1"/>
  <c r="C17" i="1"/>
  <c r="E21" i="1"/>
  <c r="F21" i="1"/>
  <c r="G21" i="1"/>
  <c r="H21" i="1"/>
  <c r="E22" i="1"/>
  <c r="F22" i="1"/>
  <c r="G22" i="1"/>
  <c r="H22" i="1"/>
  <c r="E23" i="1"/>
  <c r="F23" i="1"/>
  <c r="G23" i="1"/>
  <c r="H23" i="1"/>
  <c r="G4" i="1"/>
  <c r="F4" i="1"/>
  <c r="Q21" i="1"/>
  <c r="Q22" i="1"/>
  <c r="Q23" i="1"/>
  <c r="E17" i="3"/>
  <c r="E12" i="3"/>
  <c r="C12" i="2"/>
  <c r="C11" i="2"/>
  <c r="C11" i="1"/>
  <c r="C12" i="1"/>
  <c r="C16" i="1" l="1"/>
  <c r="D18" i="1" s="1"/>
  <c r="O24" i="1"/>
  <c r="O27" i="1"/>
  <c r="O29" i="1"/>
  <c r="O26" i="1"/>
  <c r="O21" i="1"/>
  <c r="C15" i="1"/>
  <c r="O22" i="1"/>
  <c r="O28" i="1"/>
  <c r="O25" i="1"/>
  <c r="O23" i="1"/>
  <c r="O30" i="2"/>
  <c r="O26" i="2"/>
  <c r="O31" i="2"/>
  <c r="O21" i="2"/>
  <c r="O33" i="2"/>
  <c r="O23" i="2"/>
  <c r="O29" i="2"/>
  <c r="O28" i="2"/>
  <c r="O27" i="2"/>
  <c r="O34" i="2"/>
  <c r="O32" i="2"/>
  <c r="O25" i="2"/>
  <c r="O24" i="2"/>
  <c r="O22" i="2"/>
  <c r="C15" i="2"/>
  <c r="C16" i="2"/>
  <c r="D18" i="2" s="1"/>
  <c r="F18" i="2" l="1"/>
  <c r="C18" i="1"/>
  <c r="E16" i="1"/>
  <c r="E17" i="1" s="1"/>
  <c r="F19" i="2"/>
  <c r="C18" i="2"/>
</calcChain>
</file>

<file path=xl/sharedStrings.xml><?xml version="1.0" encoding="utf-8"?>
<sst xmlns="http://schemas.openxmlformats.org/spreadsheetml/2006/main" count="243" uniqueCount="117">
  <si>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</si>
  <si>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</si>
  <si>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</si>
  <si>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</si>
  <si>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</si>
  <si>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</si>
  <si>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</si>
  <si>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</si>
  <si>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</si>
  <si>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</si>
  <si>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</si>
  <si>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</si>
  <si>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</si>
  <si>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</si>
  <si>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</si>
  <si>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</si>
  <si>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</si>
  <si>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</si>
  <si>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</si>
  <si>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</si>
  <si>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</si>
  <si>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</si>
  <si>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</si>
  <si>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</si>
  <si>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</si>
  <si>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</si>
  <si>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</si>
  <si>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</si>
  <si>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</si>
  <si>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</si>
  <si>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</si>
  <si>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</si>
  <si>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</si>
  <si>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</si>
  <si>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</si>
  <si>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</si>
  <si>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</si>
  <si>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</si>
  <si>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V1054 Her / GSC 0990-0545</t>
  </si>
  <si>
    <t>EB</t>
  </si>
  <si>
    <t>IBVS 5060</t>
  </si>
  <si>
    <t>I</t>
  </si>
  <si>
    <t>II</t>
  </si>
  <si>
    <t>IBVS 5802</t>
  </si>
  <si>
    <t>IBVS</t>
  </si>
  <si>
    <t>Add cycle</t>
  </si>
  <si>
    <t>Old Cycle</t>
  </si>
  <si>
    <t>OEJV 0137</t>
  </si>
  <si>
    <t>OEJV</t>
  </si>
  <si>
    <t>IBVS 5918</t>
  </si>
  <si>
    <t>IBVS 5992</t>
  </si>
  <si>
    <t>OEJV 0160</t>
  </si>
  <si>
    <t>BAD?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</si>
  <si>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</si>
  <si>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</si>
  <si>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</si>
  <si>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</si>
  <si>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</si>
  <si>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</si>
  <si>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</si>
  <si>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</si>
  <si>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</si>
  <si>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</si>
  <si>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</si>
  <si>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</si>
  <si>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2454219.5206 </t>
  </si>
  <si>
    <t> 29.04.2007 00:29 </t>
  </si>
  <si>
    <t> -0.0005 </t>
  </si>
  <si>
    <t>C </t>
  </si>
  <si>
    <t>-I</t>
  </si>
  <si>
    <t> F.Agerer </t>
  </si>
  <si>
    <t>BAVM 186 </t>
  </si>
  <si>
    <t>2454971.4425 </t>
  </si>
  <si>
    <t> 19.05.2009 22:37 </t>
  </si>
  <si>
    <t>3812</t>
  </si>
  <si>
    <t> 0.0014 </t>
  </si>
  <si>
    <t>BAVM 209 </t>
  </si>
  <si>
    <t>2455280.6345 </t>
  </si>
  <si>
    <t> 25.03.2010 03:13 </t>
  </si>
  <si>
    <t>4289</t>
  </si>
  <si>
    <t> -0.0012 </t>
  </si>
  <si>
    <t> J.Trnka </t>
  </si>
  <si>
    <t>OEJV 0137 </t>
  </si>
  <si>
    <t>2455682.5241 </t>
  </si>
  <si>
    <t> 01.05.2011 00:34 </t>
  </si>
  <si>
    <t>4909</t>
  </si>
  <si>
    <t> 0.0001 </t>
  </si>
  <si>
    <t>-U;-I</t>
  </si>
  <si>
    <t> K.&amp; M. Rätz </t>
  </si>
  <si>
    <t>BAVM 225 </t>
  </si>
  <si>
    <t>2455722.713 </t>
  </si>
  <si>
    <t> 10.06.2011 05:06 </t>
  </si>
  <si>
    <t>4971</t>
  </si>
  <si>
    <t> 0.000 </t>
  </si>
  <si>
    <t> R.Diethelm </t>
  </si>
  <si>
    <t>IBVS 5992 </t>
  </si>
  <si>
    <t>2455806.33385 </t>
  </si>
  <si>
    <t> 01.09.2011 20:00 </t>
  </si>
  <si>
    <t>5100</t>
  </si>
  <si>
    <t> 0.00236 </t>
  </si>
  <si>
    <t>R</t>
  </si>
  <si>
    <t> K.Ho?kova </t>
  </si>
  <si>
    <t>OEJV 0160 </t>
  </si>
  <si>
    <t>2456095.4302 </t>
  </si>
  <si>
    <t> 16.06.2012 22:19 </t>
  </si>
  <si>
    <t>5546</t>
  </si>
  <si>
    <t> -0.0015 </t>
  </si>
  <si>
    <t> F.Scaggiante </t>
  </si>
  <si>
    <t>2456356.65819 </t>
  </si>
  <si>
    <t> 05.03.2013 03:47 </t>
  </si>
  <si>
    <t>5949</t>
  </si>
  <si>
    <t> -0.00092 </t>
  </si>
  <si>
    <t>JAVSO..44…69</t>
  </si>
  <si>
    <t>s5</t>
  </si>
  <si>
    <t>s6</t>
  </si>
  <si>
    <t>s7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</si>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</sst>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7" fillId="0" borderId="0" xfId="0" applyFont="1" applyFill="1">
      <alignment vertical="top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9" fillId="3" borderId="0" xfId="0" applyFont="1" applyFill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4" borderId="0" xfId="0" applyFont="1" applyFill="1" applyAlignment="1"/>
    <xf numFmtId="0" fontId="7" fillId="0" borderId="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0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5" borderId="13" xfId="0" applyFont="1" applyFill="1" applyBorder="1" applyAlignment="1">
      <alignment horizontal="left" vertical="top" wrapText="1" indent="1"/>
    </xf>
    <xf numFmtId="0" fontId="5" fillId="5" borderId="13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right" vertical="top" wrapText="1"/>
    </xf>
    <xf numFmtId="0" fontId="20" fillId="5" borderId="13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6" fillId="0" borderId="0" xfId="0" applyFont="1" applyAlignme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14" fontId="6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V1054 Her -- O-C Diagr.</a:t>
            </a:r>
          </a:p>
        </c:rich>
      </c:tx>
      <c:layout>
        <c:manualLayout>
          <c:xMode val="edge"/>
          <c:yMode val="edge"/>
          <c:x val="0.3654134679618454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F-4B16-9FC9-0D6CA04A11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-6.1893093297840096E-3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9F-4B16-9FC9-0D6CA04A11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-4.7731514350743964E-3</c:v>
                </c:pt>
                <c:pt idx="3">
                  <c:v>-4.7819821338634938E-4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9F-4B16-9FC9-0D6CA04A11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-2.1830320984008722E-3</c:v>
                </c:pt>
                <c:pt idx="5">
                  <c:v>4.2116703843930736E-4</c:v>
                </c:pt>
                <c:pt idx="6">
                  <c:v>6.2158695800462738E-4</c:v>
                </c:pt>
                <c:pt idx="7">
                  <c:v>3.0482670990750194E-3</c:v>
                </c:pt>
                <c:pt idx="8">
                  <c:v>4.3223255488555878E-5</c:v>
                </c:pt>
                <c:pt idx="9">
                  <c:v>1.4859526927466504E-3</c:v>
                </c:pt>
                <c:pt idx="10">
                  <c:v>5.4759526901762001E-3</c:v>
                </c:pt>
                <c:pt idx="11">
                  <c:v>8.4184288207325153E-3</c:v>
                </c:pt>
                <c:pt idx="12">
                  <c:v>8.3396471454761922E-3</c:v>
                </c:pt>
                <c:pt idx="13">
                  <c:v>6.1694766482105479E-3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9F-4B16-9FC9-0D6CA04A11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9F-4B16-9FC9-0D6CA04A11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9F-4B16-9FC9-0D6CA04A11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9F-4B16-9FC9-0D6CA04A11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-9.3151987479427791E-3</c:v>
                </c:pt>
                <c:pt idx="1">
                  <c:v>-9.2520836041370264E-3</c:v>
                </c:pt>
                <c:pt idx="2">
                  <c:v>-1.890562740247828E-3</c:v>
                </c:pt>
                <c:pt idx="3">
                  <c:v>1.1088345847589526E-5</c:v>
                </c:pt>
                <c:pt idx="4">
                  <c:v>7.930603872851015E-4</c:v>
                </c:pt>
                <c:pt idx="5">
                  <c:v>1.8094601057154107E-3</c:v>
                </c:pt>
                <c:pt idx="6">
                  <c:v>1.9111000775584417E-3</c:v>
                </c:pt>
                <c:pt idx="7">
                  <c:v>2.1225767931673288E-3</c:v>
                </c:pt>
                <c:pt idx="8">
                  <c:v>2.8537288486833253E-3</c:v>
                </c:pt>
                <c:pt idx="9">
                  <c:v>3.5143886656630262E-3</c:v>
                </c:pt>
                <c:pt idx="10">
                  <c:v>3.5143886656630262E-3</c:v>
                </c:pt>
                <c:pt idx="11">
                  <c:v>4.6602973804739716E-3</c:v>
                </c:pt>
                <c:pt idx="12">
                  <c:v>4.7209534927028767E-3</c:v>
                </c:pt>
                <c:pt idx="13">
                  <c:v>5.6947299971344956E-3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9F-4B16-9FC9-0D6CA04A11E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Active!$D$21:$D$49</c:f>
                <c:numCache>
                  <c:formatCode>General</c:formatCode>
                  <c:ptCount val="29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plus>
            <c:minus>
              <c:numRef>
                <c:f>Active!$D$21:$D$49</c:f>
                <c:numCache>
                  <c:formatCode>General</c:formatCode>
                  <c:ptCount val="29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3.0000000000000001E-3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4.0000000000000002E-4</c:v>
                  </c:pt>
                  <c:pt idx="10">
                    <c:v>3.6999999999999999E-4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-7826</c:v>
                </c:pt>
                <c:pt idx="1">
                  <c:v>-7787.5</c:v>
                </c:pt>
                <c:pt idx="2">
                  <c:v>-3297</c:v>
                </c:pt>
                <c:pt idx="3">
                  <c:v>-2137</c:v>
                </c:pt>
                <c:pt idx="4">
                  <c:v>-1660</c:v>
                </c:pt>
                <c:pt idx="5">
                  <c:v>-1040</c:v>
                </c:pt>
                <c:pt idx="6">
                  <c:v>-978</c:v>
                </c:pt>
                <c:pt idx="7">
                  <c:v>-849</c:v>
                </c:pt>
                <c:pt idx="8">
                  <c:v>-403</c:v>
                </c:pt>
                <c:pt idx="9">
                  <c:v>0</c:v>
                </c:pt>
                <c:pt idx="10">
                  <c:v>0</c:v>
                </c:pt>
                <c:pt idx="11">
                  <c:v>699</c:v>
                </c:pt>
                <c:pt idx="12">
                  <c:v>736</c:v>
                </c:pt>
                <c:pt idx="13">
                  <c:v>1330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1">
                  <c:v>8.4246610931586474E-3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9F-4B16-9FC9-0D6CA04A1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406064"/>
        <c:axId val="1"/>
      </c:scatterChart>
      <c:valAx>
        <c:axId val="709406064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2434958148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4038855365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40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6912633833"/>
          <c:y val="0.92397937099967764"/>
          <c:w val="0.7503759596114463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V1054 Her --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0.42959999999584397</c:v>
                </c:pt>
                <c:pt idx="1">
                  <c:v>0.44054999999207212</c:v>
                </c:pt>
                <c:pt idx="2">
                  <c:v>0</c:v>
                </c:pt>
                <c:pt idx="4">
                  <c:v>-0.10610000000451691</c:v>
                </c:pt>
                <c:pt idx="5">
                  <c:v>-0.21530000000348082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8-4612-B2A5-ABF7E8F704F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3">
                  <c:v>-0.15320000000065193</c:v>
                </c:pt>
                <c:pt idx="6">
                  <c:v>-0.22514999999839347</c:v>
                </c:pt>
                <c:pt idx="7">
                  <c:v>-0.27060000000346918</c:v>
                </c:pt>
                <c:pt idx="8">
                  <c:v>-0.30750999999872874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68-4612-B2A5-ABF7E8F704F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68-4612-B2A5-ABF7E8F704F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68-4612-B2A5-ABF7E8F704F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68-4612-B2A5-ABF7E8F704F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68-4612-B2A5-ABF7E8F704F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7.0000000000000001E-3</c:v>
                  </c:pt>
                  <c:pt idx="2">
                    <c:v>2.8999999999999998E-3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68-4612-B2A5-ABF7E8F704F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-4529</c:v>
                </c:pt>
                <c:pt idx="1">
                  <c:v>-4490.5</c:v>
                </c:pt>
                <c:pt idx="2">
                  <c:v>0</c:v>
                </c:pt>
                <c:pt idx="3">
                  <c:v>1637</c:v>
                </c:pt>
                <c:pt idx="4">
                  <c:v>1160</c:v>
                </c:pt>
                <c:pt idx="5">
                  <c:v>2319</c:v>
                </c:pt>
                <c:pt idx="6">
                  <c:v>2448</c:v>
                </c:pt>
                <c:pt idx="7">
                  <c:v>2894</c:v>
                </c:pt>
                <c:pt idx="8">
                  <c:v>3297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0.43578930933250354</c:v>
                </c:pt>
                <c:pt idx="1">
                  <c:v>0.43212533890215099</c:v>
                </c:pt>
                <c:pt idx="2">
                  <c:v>4.7731514346705736E-3</c:v>
                </c:pt>
                <c:pt idx="3">
                  <c:v>-0.15101696790265612</c:v>
                </c:pt>
                <c:pt idx="4">
                  <c:v>-0.10562180179153527</c:v>
                </c:pt>
                <c:pt idx="5">
                  <c:v>-0.21592158695461505</c:v>
                </c:pt>
                <c:pt idx="6">
                  <c:v>-0.22819826709787416</c:v>
                </c:pt>
                <c:pt idx="7">
                  <c:v>-0.27064322325208784</c:v>
                </c:pt>
                <c:pt idx="8">
                  <c:v>-0.30899595269188174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68-4612-B2A5-ABF7E8F7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409664"/>
        <c:axId val="1"/>
      </c:scatterChart>
      <c:valAx>
        <c:axId val="70940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409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458646616541354"/>
          <c:y val="0.92397937099967764"/>
          <c:w val="0.89022556390977448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18</xdr:col>
      <xdr:colOff>133350</xdr:colOff>
      <xdr:row>19</xdr:row>
      <xdr:rowOff>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94ADD9C4-A2A6-8994-59BE-CF83BDDD0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8E9D39DC-86DB-47DF-9C41-02EE130E7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AC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H38" sqref="H3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9" ht="20.25" x14ac:dyDescent="0.3">
      <c r="A1" s="1" t="s">
        <v>38</v>
      </c>
      <c r="E1" s="32" t="s">
        <v>38</v>
      </c>
      <c r="F1" s="33"/>
      <c r="G1" s="34" t="s">
        <v>39</v>
      </c>
      <c r="H1" s="35" t="s">
        <v>40</v>
      </c>
      <c r="I1" s="30" t="s">
        <v>36</v>
      </c>
      <c r="J1" s="30" t="s">
        <v>36</v>
      </c>
      <c r="K1" s="36">
        <v>54219.520600000003</v>
      </c>
      <c r="L1" s="36">
        <v>0.64829999999999999</v>
      </c>
    </row>
    <row r="2" spans="1:29" x14ac:dyDescent="0.2">
      <c r="A2" t="s">
        <v>23</v>
      </c>
      <c r="B2" t="s">
        <v>39</v>
      </c>
      <c r="C2" s="9"/>
    </row>
    <row r="3" spans="1:29" ht="13.5" thickBot="1" x14ac:dyDescent="0.25"/>
    <row r="4" spans="1:29" ht="14.25" thickTop="1" thickBot="1" x14ac:dyDescent="0.25">
      <c r="A4" s="29" t="s">
        <v>37</v>
      </c>
      <c r="C4" s="7" t="s">
        <v>36</v>
      </c>
      <c r="D4" s="8" t="s">
        <v>36</v>
      </c>
      <c r="F4" s="25" t="str">
        <f>"F"&amp;B9</f>
        <v>F21</v>
      </c>
      <c r="G4" s="26" t="str">
        <f>"G"&amp;B9</f>
        <v>G21</v>
      </c>
    </row>
    <row r="5" spans="1:29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29" x14ac:dyDescent="0.2">
      <c r="A6" s="4" t="s">
        <v>0</v>
      </c>
    </row>
    <row r="7" spans="1:29" x14ac:dyDescent="0.2">
      <c r="A7" t="s">
        <v>1</v>
      </c>
      <c r="C7">
        <v>56356.656704047309</v>
      </c>
    </row>
    <row r="8" spans="1:29" x14ac:dyDescent="0.2">
      <c r="A8" t="s">
        <v>2</v>
      </c>
      <c r="C8">
        <v>0.64820483193687395</v>
      </c>
      <c r="D8" s="31" t="s">
        <v>40</v>
      </c>
    </row>
    <row r="9" spans="1:29" x14ac:dyDescent="0.2">
      <c r="A9" s="27" t="s">
        <v>35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29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29" x14ac:dyDescent="0.2">
      <c r="A11" s="11" t="s">
        <v>14</v>
      </c>
      <c r="B11" s="11"/>
      <c r="C11" s="24">
        <f ca="1">INTERCEPT(INDIRECT($D$9):G992,INDIRECT($C$9):F992)</f>
        <v>3.5143886656630262E-3</v>
      </c>
      <c r="D11" s="13"/>
      <c r="E11" s="11"/>
    </row>
    <row r="12" spans="1:29" x14ac:dyDescent="0.2">
      <c r="A12" s="11" t="s">
        <v>15</v>
      </c>
      <c r="B12" s="11"/>
      <c r="C12" s="24">
        <f ca="1">SLOPE(INDIRECT($D$9):G992,INDIRECT($C$9):F992)</f>
        <v>1.6393543845650149E-6</v>
      </c>
      <c r="D12" s="13"/>
      <c r="E12" s="11"/>
    </row>
    <row r="13" spans="1:29" x14ac:dyDescent="0.2">
      <c r="A13" s="11" t="s">
        <v>18</v>
      </c>
      <c r="B13" s="11"/>
      <c r="C13" s="13" t="s">
        <v>12</v>
      </c>
    </row>
    <row r="14" spans="1:29" x14ac:dyDescent="0.2">
      <c r="A14" s="11"/>
      <c r="B14" s="11"/>
      <c r="C14" s="11"/>
      <c r="AC14" t="e">
        <v>#N/A</v>
      </c>
    </row>
    <row r="15" spans="1:29" x14ac:dyDescent="0.2">
      <c r="A15" s="14" t="s">
        <v>16</v>
      </c>
      <c r="B15" s="11"/>
      <c r="C15" s="15">
        <f ca="1">(C7+C11)+(C8+C12)*INT(MAX(F21:F3533))</f>
        <v>57218.774825253349</v>
      </c>
      <c r="E15" s="16" t="s">
        <v>45</v>
      </c>
      <c r="F15" s="12">
        <v>1</v>
      </c>
    </row>
    <row r="16" spans="1:29" x14ac:dyDescent="0.2">
      <c r="A16" s="18" t="s">
        <v>3</v>
      </c>
      <c r="B16" s="11"/>
      <c r="C16" s="19">
        <f ca="1">+C8+C12</f>
        <v>0.64820647129125852</v>
      </c>
      <c r="E16" s="16" t="s">
        <v>31</v>
      </c>
      <c r="F16" s="17">
        <f ca="1">NOW()+15018.5+$C$5/24</f>
        <v>60354.758888888886</v>
      </c>
    </row>
    <row r="17" spans="1:21" ht="13.5" thickBot="1" x14ac:dyDescent="0.25">
      <c r="A17" s="16" t="s">
        <v>28</v>
      </c>
      <c r="B17" s="11"/>
      <c r="C17" s="11">
        <f>COUNT(C21:C2191)</f>
        <v>14</v>
      </c>
      <c r="E17" s="16" t="s">
        <v>46</v>
      </c>
      <c r="F17" s="17">
        <f ca="1">ROUND(2*(F16-$C$7)/$C$8,0)/2+F15</f>
        <v>6169</v>
      </c>
    </row>
    <row r="18" spans="1:21" ht="14.25" thickTop="1" thickBot="1" x14ac:dyDescent="0.25">
      <c r="A18" s="18" t="s">
        <v>4</v>
      </c>
      <c r="B18" s="11"/>
      <c r="C18" s="21">
        <f ca="1">+C15</f>
        <v>57218.774825253349</v>
      </c>
      <c r="D18" s="22">
        <f ca="1">+C16</f>
        <v>0.64820647129125852</v>
      </c>
      <c r="E18" s="16" t="s">
        <v>32</v>
      </c>
      <c r="F18" s="26">
        <f ca="1">ROUND(2*(F16-$C$15)/$C$16,0)/2+F15</f>
        <v>4839</v>
      </c>
    </row>
    <row r="19" spans="1:21" ht="13.5" thickTop="1" x14ac:dyDescent="0.2">
      <c r="E19" s="16" t="s">
        <v>33</v>
      </c>
      <c r="F19" s="20">
        <f ca="1">+$C$15+$C$16*F18-15018.5-$C$5/24</f>
        <v>45337.341773165084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61</v>
      </c>
      <c r="I20" s="6" t="s">
        <v>64</v>
      </c>
      <c r="J20" s="6" t="s">
        <v>58</v>
      </c>
      <c r="K20" s="6" t="s">
        <v>56</v>
      </c>
      <c r="L20" s="6" t="s">
        <v>113</v>
      </c>
      <c r="M20" s="6" t="s">
        <v>114</v>
      </c>
      <c r="N20" s="6" t="s">
        <v>115</v>
      </c>
      <c r="O20" s="6" t="s">
        <v>22</v>
      </c>
      <c r="P20" s="5" t="s">
        <v>21</v>
      </c>
      <c r="Q20" s="3" t="s">
        <v>13</v>
      </c>
      <c r="U20" s="51" t="s">
        <v>52</v>
      </c>
    </row>
    <row r="21" spans="1:21" x14ac:dyDescent="0.2">
      <c r="A21" s="37" t="s">
        <v>40</v>
      </c>
      <c r="B21" s="38" t="s">
        <v>41</v>
      </c>
      <c r="C21" s="39">
        <v>51283.799500000001</v>
      </c>
      <c r="D21" s="39">
        <v>1.2999999999999999E-3</v>
      </c>
      <c r="E21">
        <f t="shared" ref="E21:E34" si="0">+(C21-C$7)/C$8</f>
        <v>-7826.0095483850591</v>
      </c>
      <c r="F21">
        <f t="shared" ref="F21:F34" si="1">ROUND(2*E21,0)/2</f>
        <v>-7826</v>
      </c>
      <c r="G21">
        <f>+C21-(C$7+F21*C$8)</f>
        <v>-6.1893093297840096E-3</v>
      </c>
      <c r="I21">
        <f>+G21</f>
        <v>-6.1893093297840096E-3</v>
      </c>
      <c r="O21">
        <f t="shared" ref="O21:O34" ca="1" si="2">+C$11+C$12*$F21</f>
        <v>-9.3151987479427791E-3</v>
      </c>
      <c r="Q21" s="2">
        <f t="shared" ref="Q21:Q34" si="3">+C21-15018.5</f>
        <v>36265.299500000001</v>
      </c>
      <c r="R21" t="s">
        <v>64</v>
      </c>
    </row>
    <row r="22" spans="1:21" x14ac:dyDescent="0.2">
      <c r="A22" s="37" t="s">
        <v>40</v>
      </c>
      <c r="B22" s="38" t="s">
        <v>42</v>
      </c>
      <c r="C22" s="39">
        <v>51308.77</v>
      </c>
      <c r="D22" s="39">
        <v>7.0000000000000001E-3</v>
      </c>
      <c r="E22">
        <f t="shared" si="0"/>
        <v>-7787.4870030881002</v>
      </c>
      <c r="F22">
        <f t="shared" si="1"/>
        <v>-7787.5</v>
      </c>
      <c r="O22">
        <f t="shared" ca="1" si="2"/>
        <v>-9.2520836041370264E-3</v>
      </c>
      <c r="Q22" s="2">
        <f t="shared" si="3"/>
        <v>36290.269999999997</v>
      </c>
      <c r="R22" t="s">
        <v>64</v>
      </c>
      <c r="U22">
        <f>+C22-(C$7+F22*C$8)</f>
        <v>8.4246610931586474E-3</v>
      </c>
    </row>
    <row r="23" spans="1:21" x14ac:dyDescent="0.2">
      <c r="A23" s="39" t="s">
        <v>43</v>
      </c>
      <c r="B23" s="40"/>
      <c r="C23" s="39">
        <v>54219.520600000003</v>
      </c>
      <c r="D23" s="39">
        <v>2.8999999999999998E-3</v>
      </c>
      <c r="E23">
        <f t="shared" si="0"/>
        <v>-3297.0073636467937</v>
      </c>
      <c r="F23">
        <f t="shared" si="1"/>
        <v>-3297</v>
      </c>
      <c r="G23">
        <f t="shared" ref="G23:G34" si="4">+C23-(C$7+F23*C$8)</f>
        <v>-4.7731514350743964E-3</v>
      </c>
      <c r="J23">
        <f>+G23</f>
        <v>-4.7731514350743964E-3</v>
      </c>
      <c r="O23">
        <f t="shared" ca="1" si="2"/>
        <v>-1.890562740247828E-3</v>
      </c>
      <c r="Q23" s="2">
        <f t="shared" si="3"/>
        <v>39201.020600000003</v>
      </c>
      <c r="R23" t="s">
        <v>58</v>
      </c>
    </row>
    <row r="24" spans="1:21" x14ac:dyDescent="0.2">
      <c r="A24" s="48" t="s">
        <v>49</v>
      </c>
      <c r="B24" s="49" t="s">
        <v>41</v>
      </c>
      <c r="C24" s="48">
        <v>54971.442499999997</v>
      </c>
      <c r="D24" s="48">
        <v>2.9999999999999997E-4</v>
      </c>
      <c r="E24">
        <f t="shared" si="0"/>
        <v>-2137.0007377270094</v>
      </c>
      <c r="F24">
        <f t="shared" si="1"/>
        <v>-2137</v>
      </c>
      <c r="G24">
        <f t="shared" si="4"/>
        <v>-4.7819821338634938E-4</v>
      </c>
      <c r="J24">
        <f>+G24</f>
        <v>-4.7819821338634938E-4</v>
      </c>
      <c r="O24">
        <f t="shared" ca="1" si="2"/>
        <v>1.1088345847589526E-5</v>
      </c>
      <c r="Q24" s="2">
        <f t="shared" si="3"/>
        <v>39952.942499999997</v>
      </c>
      <c r="R24" t="s">
        <v>58</v>
      </c>
    </row>
    <row r="25" spans="1:21" x14ac:dyDescent="0.2">
      <c r="A25" s="45" t="s">
        <v>47</v>
      </c>
      <c r="B25" s="46" t="s">
        <v>41</v>
      </c>
      <c r="C25" s="47">
        <v>55280.6345</v>
      </c>
      <c r="D25" s="47">
        <v>5.0000000000000001E-4</v>
      </c>
      <c r="E25">
        <f t="shared" si="0"/>
        <v>-1660.003367812134</v>
      </c>
      <c r="F25">
        <f t="shared" si="1"/>
        <v>-1660</v>
      </c>
      <c r="G25">
        <f t="shared" si="4"/>
        <v>-2.1830320984008722E-3</v>
      </c>
      <c r="K25">
        <f t="shared" ref="K25:K34" si="5">+G25</f>
        <v>-2.1830320984008722E-3</v>
      </c>
      <c r="O25">
        <f t="shared" ca="1" si="2"/>
        <v>7.930603872851015E-4</v>
      </c>
      <c r="Q25" s="2">
        <f t="shared" si="3"/>
        <v>40262.1345</v>
      </c>
      <c r="R25" t="s">
        <v>116</v>
      </c>
    </row>
    <row r="26" spans="1:21" x14ac:dyDescent="0.2">
      <c r="A26" s="65" t="s">
        <v>89</v>
      </c>
      <c r="B26" s="66" t="s">
        <v>41</v>
      </c>
      <c r="C26" s="67">
        <v>55682.524100000002</v>
      </c>
      <c r="D26" s="67" t="s">
        <v>64</v>
      </c>
      <c r="E26">
        <f t="shared" si="0"/>
        <v>-1039.999350256244</v>
      </c>
      <c r="F26">
        <f t="shared" si="1"/>
        <v>-1040</v>
      </c>
      <c r="G26">
        <f t="shared" si="4"/>
        <v>4.2116703843930736E-4</v>
      </c>
      <c r="K26">
        <f t="shared" si="5"/>
        <v>4.2116703843930736E-4</v>
      </c>
      <c r="O26">
        <f t="shared" ca="1" si="2"/>
        <v>1.8094601057154107E-3</v>
      </c>
      <c r="Q26" s="2">
        <f t="shared" si="3"/>
        <v>40664.024100000002</v>
      </c>
      <c r="R26" s="71" t="s">
        <v>56</v>
      </c>
    </row>
    <row r="27" spans="1:21" x14ac:dyDescent="0.2">
      <c r="A27" s="48" t="s">
        <v>50</v>
      </c>
      <c r="B27" s="49" t="s">
        <v>41</v>
      </c>
      <c r="C27" s="48">
        <v>55722.713000000003</v>
      </c>
      <c r="D27" s="48">
        <v>3.0000000000000001E-3</v>
      </c>
      <c r="E27">
        <f t="shared" si="0"/>
        <v>-977.99904106398731</v>
      </c>
      <c r="F27">
        <f t="shared" si="1"/>
        <v>-978</v>
      </c>
      <c r="G27">
        <f t="shared" si="4"/>
        <v>6.2158695800462738E-4</v>
      </c>
      <c r="K27">
        <f t="shared" si="5"/>
        <v>6.2158695800462738E-4</v>
      </c>
      <c r="O27">
        <f t="shared" ca="1" si="2"/>
        <v>1.9111000775584417E-3</v>
      </c>
      <c r="Q27" s="2">
        <f t="shared" si="3"/>
        <v>40704.213000000003</v>
      </c>
      <c r="R27" t="s">
        <v>56</v>
      </c>
    </row>
    <row r="28" spans="1:21" x14ac:dyDescent="0.2">
      <c r="A28" s="68" t="s">
        <v>51</v>
      </c>
      <c r="B28" s="69" t="s">
        <v>41</v>
      </c>
      <c r="C28" s="70">
        <v>55806.333850000003</v>
      </c>
      <c r="D28" s="70">
        <v>2.0000000000000001E-4</v>
      </c>
      <c r="E28">
        <f t="shared" si="0"/>
        <v>-848.99529737060061</v>
      </c>
      <c r="F28">
        <f t="shared" si="1"/>
        <v>-849</v>
      </c>
      <c r="G28">
        <f t="shared" si="4"/>
        <v>3.0482670990750194E-3</v>
      </c>
      <c r="K28">
        <f t="shared" si="5"/>
        <v>3.0482670990750194E-3</v>
      </c>
      <c r="O28">
        <f t="shared" ca="1" si="2"/>
        <v>2.1225767931673288E-3</v>
      </c>
      <c r="Q28" s="2">
        <f t="shared" si="3"/>
        <v>40787.833850000003</v>
      </c>
      <c r="R28" t="s">
        <v>56</v>
      </c>
    </row>
    <row r="29" spans="1:21" x14ac:dyDescent="0.2">
      <c r="A29" s="68" t="s">
        <v>51</v>
      </c>
      <c r="B29" s="69" t="s">
        <v>41</v>
      </c>
      <c r="C29" s="70">
        <v>56095.430200000003</v>
      </c>
      <c r="D29" s="70">
        <v>1E-4</v>
      </c>
      <c r="E29">
        <f t="shared" si="0"/>
        <v>-402.99993331852619</v>
      </c>
      <c r="F29">
        <f t="shared" si="1"/>
        <v>-403</v>
      </c>
      <c r="G29">
        <f t="shared" si="4"/>
        <v>4.3223255488555878E-5</v>
      </c>
      <c r="K29">
        <f t="shared" si="5"/>
        <v>4.3223255488555878E-5</v>
      </c>
      <c r="O29">
        <f t="shared" ca="1" si="2"/>
        <v>2.8537288486833253E-3</v>
      </c>
      <c r="Q29" s="2">
        <f t="shared" si="3"/>
        <v>41076.930200000003</v>
      </c>
      <c r="R29" t="s">
        <v>56</v>
      </c>
    </row>
    <row r="30" spans="1:21" x14ac:dyDescent="0.2">
      <c r="A30" s="68" t="s">
        <v>51</v>
      </c>
      <c r="B30" s="69" t="s">
        <v>41</v>
      </c>
      <c r="C30" s="70">
        <v>56356.658190000002</v>
      </c>
      <c r="D30" s="70">
        <v>4.0000000000000002E-4</v>
      </c>
      <c r="E30">
        <f t="shared" si="0"/>
        <v>2.2924122430660336E-3</v>
      </c>
      <c r="F30">
        <f t="shared" si="1"/>
        <v>0</v>
      </c>
      <c r="G30">
        <f t="shared" si="4"/>
        <v>1.4859526927466504E-3</v>
      </c>
      <c r="K30">
        <f t="shared" si="5"/>
        <v>1.4859526927466504E-3</v>
      </c>
      <c r="O30">
        <f t="shared" ca="1" si="2"/>
        <v>3.5143886656630262E-3</v>
      </c>
      <c r="Q30" s="2">
        <f t="shared" si="3"/>
        <v>41338.158190000002</v>
      </c>
      <c r="R30" t="s">
        <v>56</v>
      </c>
    </row>
    <row r="31" spans="1:21" x14ac:dyDescent="0.2">
      <c r="A31" s="70" t="s">
        <v>53</v>
      </c>
      <c r="B31" s="69"/>
      <c r="C31" s="70">
        <v>56356.662179999999</v>
      </c>
      <c r="D31" s="70">
        <v>3.6999999999999999E-4</v>
      </c>
      <c r="E31">
        <f t="shared" si="0"/>
        <v>8.4478739132717254E-3</v>
      </c>
      <c r="F31">
        <f t="shared" si="1"/>
        <v>0</v>
      </c>
      <c r="G31">
        <f t="shared" si="4"/>
        <v>5.4759526901762001E-3</v>
      </c>
      <c r="K31">
        <f t="shared" si="5"/>
        <v>5.4759526901762001E-3</v>
      </c>
      <c r="O31">
        <f t="shared" ca="1" si="2"/>
        <v>3.5143886656630262E-3</v>
      </c>
      <c r="Q31" s="2">
        <f t="shared" si="3"/>
        <v>41338.162179999999</v>
      </c>
      <c r="R31" t="s">
        <v>56</v>
      </c>
    </row>
    <row r="32" spans="1:21" s="71" customFormat="1" x14ac:dyDescent="0.2">
      <c r="A32" s="72" t="s">
        <v>112</v>
      </c>
      <c r="B32" s="73" t="s">
        <v>41</v>
      </c>
      <c r="C32" s="74">
        <v>56809.760300000002</v>
      </c>
      <c r="D32" s="74">
        <v>2.0000000000000001E-4</v>
      </c>
      <c r="E32" s="71">
        <f t="shared" si="0"/>
        <v>699.01298729722907</v>
      </c>
      <c r="F32" s="71">
        <f t="shared" si="1"/>
        <v>699</v>
      </c>
      <c r="G32" s="71">
        <f t="shared" si="4"/>
        <v>8.4184288207325153E-3</v>
      </c>
      <c r="K32" s="71">
        <f t="shared" si="5"/>
        <v>8.4184288207325153E-3</v>
      </c>
      <c r="O32" s="71">
        <f t="shared" ca="1" si="2"/>
        <v>4.6602973804739716E-3</v>
      </c>
      <c r="Q32" s="75">
        <f t="shared" si="3"/>
        <v>41791.260300000002</v>
      </c>
      <c r="R32" s="71" t="s">
        <v>56</v>
      </c>
    </row>
    <row r="33" spans="1:18" s="71" customFormat="1" x14ac:dyDescent="0.2">
      <c r="A33" s="72" t="s">
        <v>112</v>
      </c>
      <c r="B33" s="73" t="s">
        <v>41</v>
      </c>
      <c r="C33" s="74">
        <v>56833.743799999997</v>
      </c>
      <c r="D33" s="74">
        <v>2.0000000000000001E-4</v>
      </c>
      <c r="E33" s="71">
        <f t="shared" si="0"/>
        <v>736.01286575899667</v>
      </c>
      <c r="F33" s="71">
        <f t="shared" si="1"/>
        <v>736</v>
      </c>
      <c r="G33" s="71">
        <f t="shared" si="4"/>
        <v>8.3396471454761922E-3</v>
      </c>
      <c r="K33" s="71">
        <f t="shared" si="5"/>
        <v>8.3396471454761922E-3</v>
      </c>
      <c r="O33" s="71">
        <f t="shared" ca="1" si="2"/>
        <v>4.7209534927028767E-3</v>
      </c>
      <c r="Q33" s="75">
        <f t="shared" si="3"/>
        <v>41815.243799999997</v>
      </c>
      <c r="R33" s="71" t="s">
        <v>56</v>
      </c>
    </row>
    <row r="34" spans="1:18" s="71" customFormat="1" x14ac:dyDescent="0.2">
      <c r="A34" s="72" t="s">
        <v>112</v>
      </c>
      <c r="B34" s="73" t="s">
        <v>41</v>
      </c>
      <c r="C34" s="74">
        <v>57218.775300000001</v>
      </c>
      <c r="D34" s="74">
        <v>5.0000000000000001E-4</v>
      </c>
      <c r="E34" s="71">
        <f t="shared" si="0"/>
        <v>1330.0095177887385</v>
      </c>
      <c r="F34" s="71">
        <f t="shared" si="1"/>
        <v>1330</v>
      </c>
      <c r="G34" s="71">
        <f t="shared" si="4"/>
        <v>6.1694766482105479E-3</v>
      </c>
      <c r="K34" s="71">
        <f t="shared" si="5"/>
        <v>6.1694766482105479E-3</v>
      </c>
      <c r="O34" s="71">
        <f t="shared" ca="1" si="2"/>
        <v>5.6947299971344956E-3</v>
      </c>
      <c r="Q34" s="75">
        <f t="shared" si="3"/>
        <v>42200.275300000001</v>
      </c>
      <c r="R34" s="71" t="s">
        <v>56</v>
      </c>
    </row>
    <row r="35" spans="1:18" x14ac:dyDescent="0.2">
      <c r="C35" s="9"/>
      <c r="D35" s="9"/>
    </row>
    <row r="36" spans="1:18" x14ac:dyDescent="0.2">
      <c r="C36" s="9"/>
      <c r="D36" s="9"/>
    </row>
    <row r="37" spans="1:18" x14ac:dyDescent="0.2">
      <c r="C37" s="9"/>
      <c r="D37" s="9"/>
    </row>
    <row r="38" spans="1:18" x14ac:dyDescent="0.2">
      <c r="C38" s="9"/>
      <c r="D38" s="9"/>
    </row>
    <row r="39" spans="1:18" x14ac:dyDescent="0.2">
      <c r="C39" s="9"/>
      <c r="D39" s="9"/>
    </row>
    <row r="40" spans="1:18" x14ac:dyDescent="0.2">
      <c r="C40" s="9"/>
      <c r="D40" s="9"/>
    </row>
    <row r="41" spans="1:18" x14ac:dyDescent="0.2">
      <c r="C41" s="9"/>
      <c r="D41" s="9"/>
    </row>
    <row r="42" spans="1:18" x14ac:dyDescent="0.2">
      <c r="C42" s="9"/>
      <c r="D42" s="9"/>
    </row>
    <row r="43" spans="1:18" x14ac:dyDescent="0.2">
      <c r="C43" s="9"/>
      <c r="D43" s="9"/>
    </row>
    <row r="44" spans="1:18" x14ac:dyDescent="0.2">
      <c r="C44" s="9"/>
      <c r="D44" s="9"/>
    </row>
    <row r="45" spans="1:18" x14ac:dyDescent="0.2">
      <c r="C45" s="9"/>
      <c r="D45" s="9"/>
    </row>
    <row r="46" spans="1:18" x14ac:dyDescent="0.2">
      <c r="C46" s="9"/>
      <c r="D46" s="9"/>
    </row>
    <row r="47" spans="1:18" x14ac:dyDescent="0.2">
      <c r="C47" s="9"/>
      <c r="D47" s="9"/>
    </row>
    <row r="48" spans="1:18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939"/>
  <sheetViews>
    <sheetView workbookViewId="0">
      <selection activeCell="H41" sqref="H4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2" t="s">
        <v>38</v>
      </c>
      <c r="F1" s="33"/>
      <c r="G1" s="34" t="s">
        <v>39</v>
      </c>
      <c r="H1" s="35" t="s">
        <v>40</v>
      </c>
      <c r="I1" s="30" t="s">
        <v>36</v>
      </c>
      <c r="J1" s="30" t="s">
        <v>36</v>
      </c>
      <c r="K1" s="36">
        <v>54219.520600000003</v>
      </c>
      <c r="L1" s="36">
        <v>0.64829999999999999</v>
      </c>
    </row>
    <row r="2" spans="1:12" x14ac:dyDescent="0.2">
      <c r="A2" t="s">
        <v>23</v>
      </c>
      <c r="B2" t="s">
        <v>39</v>
      </c>
      <c r="C2" s="9"/>
    </row>
    <row r="3" spans="1:12" ht="13.5" thickBot="1" x14ac:dyDescent="0.25"/>
    <row r="4" spans="1:12" ht="14.25" thickTop="1" thickBot="1" x14ac:dyDescent="0.25">
      <c r="A4" s="29" t="s">
        <v>37</v>
      </c>
      <c r="C4" s="7" t="s">
        <v>36</v>
      </c>
      <c r="D4" s="8" t="s">
        <v>36</v>
      </c>
      <c r="F4" s="25" t="str">
        <f>"F"&amp;E19</f>
        <v>F21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54219.520600000003</v>
      </c>
    </row>
    <row r="8" spans="1:12" x14ac:dyDescent="0.2">
      <c r="A8" t="s">
        <v>2</v>
      </c>
      <c r="C8">
        <v>0.64829999999999999</v>
      </c>
      <c r="D8" s="31" t="s">
        <v>40</v>
      </c>
    </row>
    <row r="9" spans="1:12" x14ac:dyDescent="0.2">
      <c r="A9" s="10" t="s">
        <v>29</v>
      </c>
      <c r="B9" s="11"/>
      <c r="C9" s="12">
        <v>8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4.7731514346705736E-3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-9.5168063126039519E-5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45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60355.488055555557</v>
      </c>
    </row>
    <row r="15" spans="1:12" x14ac:dyDescent="0.2">
      <c r="A15" s="14" t="s">
        <v>16</v>
      </c>
      <c r="B15" s="11"/>
      <c r="C15" s="15">
        <f ca="1">(C7+C11)+(C8+C12)*INT(MAX(F21:F3533))</f>
        <v>56356.656704047309</v>
      </c>
      <c r="D15" s="16" t="s">
        <v>46</v>
      </c>
      <c r="E15" s="17">
        <f ca="1">ROUND(2*(E14-$C$7)/$C$8,0)/2+E13</f>
        <v>9465.5</v>
      </c>
    </row>
    <row r="16" spans="1:12" x14ac:dyDescent="0.2">
      <c r="A16" s="18" t="s">
        <v>3</v>
      </c>
      <c r="B16" s="11"/>
      <c r="C16" s="19">
        <f ca="1">+C8+C12</f>
        <v>0.64820483193687395</v>
      </c>
      <c r="D16" s="16" t="s">
        <v>32</v>
      </c>
      <c r="E16" s="26">
        <f ca="1">ROUND(2*(E14-$C$15)/$C$16,0)/2+E13</f>
        <v>6170</v>
      </c>
    </row>
    <row r="17" spans="1:17" ht="13.5" thickBot="1" x14ac:dyDescent="0.25">
      <c r="A17" s="16" t="s">
        <v>28</v>
      </c>
      <c r="B17" s="11"/>
      <c r="C17" s="11">
        <f>COUNT(C21:C2191)</f>
        <v>9</v>
      </c>
      <c r="D17" s="16" t="s">
        <v>33</v>
      </c>
      <c r="E17" s="20">
        <f ca="1">+$C$15+$C$16*E16-15018.5-$C$9/24</f>
        <v>45337.247183764484</v>
      </c>
    </row>
    <row r="18" spans="1:17" ht="14.25" thickTop="1" thickBot="1" x14ac:dyDescent="0.25">
      <c r="A18" s="18" t="s">
        <v>4</v>
      </c>
      <c r="B18" s="11"/>
      <c r="C18" s="21">
        <f ca="1">+C15</f>
        <v>56356.656704047309</v>
      </c>
      <c r="D18" s="22">
        <f ca="1">+C16</f>
        <v>0.64820483193687395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44</v>
      </c>
      <c r="I20" s="6" t="s">
        <v>48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s="37" t="s">
        <v>40</v>
      </c>
      <c r="B21" s="38" t="s">
        <v>41</v>
      </c>
      <c r="C21" s="39">
        <v>51283.799500000001</v>
      </c>
      <c r="D21" s="39">
        <v>1.2999999999999999E-3</v>
      </c>
      <c r="E21">
        <f t="shared" ref="E21:E26" si="0">+(C21-C$7)/C$8</f>
        <v>-4528.337343822308</v>
      </c>
      <c r="F21" s="50">
        <f>ROUND(2*E21,0)/2-0.5</f>
        <v>-4529</v>
      </c>
      <c r="G21">
        <f t="shared" ref="G21:G26" si="1">+C21-(C$7+F21*C$8)</f>
        <v>0.42959999999584397</v>
      </c>
      <c r="H21">
        <f>+G21</f>
        <v>0.42959999999584397</v>
      </c>
      <c r="O21">
        <f t="shared" ref="O21:O26" ca="1" si="2">+C$11+C$12*$F21</f>
        <v>0.43578930933250354</v>
      </c>
      <c r="Q21" s="2">
        <f t="shared" ref="Q21:Q26" si="3">+C21-15018.5</f>
        <v>36265.299500000001</v>
      </c>
    </row>
    <row r="22" spans="1:17" x14ac:dyDescent="0.2">
      <c r="A22" s="37" t="s">
        <v>40</v>
      </c>
      <c r="B22" s="38" t="s">
        <v>42</v>
      </c>
      <c r="C22" s="39">
        <v>51308.77</v>
      </c>
      <c r="D22" s="39">
        <v>7.0000000000000001E-3</v>
      </c>
      <c r="E22">
        <f t="shared" si="0"/>
        <v>-4489.8204534937631</v>
      </c>
      <c r="F22" s="50">
        <f>ROUND(2*E22,0)/2-0.5</f>
        <v>-4490.5</v>
      </c>
      <c r="G22">
        <f t="shared" si="1"/>
        <v>0.44054999999207212</v>
      </c>
      <c r="H22">
        <f>+G22</f>
        <v>0.44054999999207212</v>
      </c>
      <c r="O22">
        <f t="shared" ca="1" si="2"/>
        <v>0.43212533890215099</v>
      </c>
      <c r="Q22" s="2">
        <f t="shared" si="3"/>
        <v>36290.269999999997</v>
      </c>
    </row>
    <row r="23" spans="1:17" x14ac:dyDescent="0.2">
      <c r="A23" s="39" t="s">
        <v>43</v>
      </c>
      <c r="B23" s="40"/>
      <c r="C23" s="39">
        <v>54219.520600000003</v>
      </c>
      <c r="D23" s="39">
        <v>2.8999999999999998E-3</v>
      </c>
      <c r="E23">
        <f t="shared" si="0"/>
        <v>0</v>
      </c>
      <c r="F23">
        <f>ROUND(2*E23,0)/2</f>
        <v>0</v>
      </c>
      <c r="G23">
        <f t="shared" si="1"/>
        <v>0</v>
      </c>
      <c r="H23">
        <f>+G23</f>
        <v>0</v>
      </c>
      <c r="O23">
        <f t="shared" ca="1" si="2"/>
        <v>4.7731514346705736E-3</v>
      </c>
      <c r="Q23" s="2">
        <f t="shared" si="3"/>
        <v>39201.020600000003</v>
      </c>
    </row>
    <row r="24" spans="1:17" x14ac:dyDescent="0.2">
      <c r="A24" s="45" t="s">
        <v>47</v>
      </c>
      <c r="B24" s="46" t="s">
        <v>41</v>
      </c>
      <c r="C24" s="47">
        <v>55280.6345</v>
      </c>
      <c r="D24" s="47">
        <v>5.0000000000000001E-4</v>
      </c>
      <c r="E24">
        <f t="shared" si="0"/>
        <v>1636.7636896498484</v>
      </c>
      <c r="F24">
        <f>ROUND(2*E24,0)/2</f>
        <v>1637</v>
      </c>
      <c r="G24">
        <f t="shared" si="1"/>
        <v>-0.15320000000065193</v>
      </c>
      <c r="I24">
        <f>+G24</f>
        <v>-0.15320000000065193</v>
      </c>
      <c r="O24">
        <f t="shared" ca="1" si="2"/>
        <v>-0.15101696790265612</v>
      </c>
      <c r="Q24" s="2">
        <f t="shared" si="3"/>
        <v>40262.1345</v>
      </c>
    </row>
    <row r="25" spans="1:17" x14ac:dyDescent="0.2">
      <c r="A25" s="48" t="s">
        <v>49</v>
      </c>
      <c r="B25" s="49" t="s">
        <v>41</v>
      </c>
      <c r="C25" s="48">
        <v>54971.442499999997</v>
      </c>
      <c r="D25" s="48">
        <v>2.9999999999999997E-4</v>
      </c>
      <c r="E25">
        <f t="shared" si="0"/>
        <v>1159.8363412000524</v>
      </c>
      <c r="F25">
        <f>ROUND(2*E25,0)/2</f>
        <v>1160</v>
      </c>
      <c r="G25">
        <f t="shared" si="1"/>
        <v>-0.10610000000451691</v>
      </c>
      <c r="H25">
        <f>+G25</f>
        <v>-0.10610000000451691</v>
      </c>
      <c r="O25">
        <f t="shared" ca="1" si="2"/>
        <v>-0.10562180179153527</v>
      </c>
      <c r="Q25" s="2">
        <f t="shared" si="3"/>
        <v>39952.942499999997</v>
      </c>
    </row>
    <row r="26" spans="1:17" x14ac:dyDescent="0.2">
      <c r="A26" s="48" t="s">
        <v>50</v>
      </c>
      <c r="B26" s="49" t="s">
        <v>41</v>
      </c>
      <c r="C26" s="48">
        <v>55722.713000000003</v>
      </c>
      <c r="D26" s="48">
        <v>3.0000000000000001E-3</v>
      </c>
      <c r="E26">
        <f t="shared" si="0"/>
        <v>2318.667900663273</v>
      </c>
      <c r="F26" s="44">
        <f>ROUND(2*E26,0)/2+0.5</f>
        <v>2319</v>
      </c>
      <c r="G26">
        <f t="shared" si="1"/>
        <v>-0.21530000000348082</v>
      </c>
      <c r="H26">
        <f>+G26</f>
        <v>-0.21530000000348082</v>
      </c>
      <c r="O26">
        <f t="shared" ca="1" si="2"/>
        <v>-0.21592158695461505</v>
      </c>
      <c r="Q26" s="2">
        <f t="shared" si="3"/>
        <v>40704.213000000003</v>
      </c>
    </row>
    <row r="27" spans="1:17" x14ac:dyDescent="0.2">
      <c r="A27" s="41" t="s">
        <v>51</v>
      </c>
      <c r="B27" s="42" t="s">
        <v>41</v>
      </c>
      <c r="C27" s="43">
        <v>55806.333850000003</v>
      </c>
      <c r="D27" s="43">
        <v>2.0000000000000001E-4</v>
      </c>
      <c r="E27">
        <f>+(C27-C$7)/C$8</f>
        <v>2447.6527070800544</v>
      </c>
      <c r="F27" s="44">
        <f>ROUND(2*E27,0)/2+0.5</f>
        <v>2448</v>
      </c>
      <c r="G27">
        <f>+C27-(C$7+F27*C$8)</f>
        <v>-0.22514999999839347</v>
      </c>
      <c r="I27">
        <f>+G27</f>
        <v>-0.22514999999839347</v>
      </c>
      <c r="O27">
        <f ca="1">+C$11+C$12*$F27</f>
        <v>-0.22819826709787416</v>
      </c>
      <c r="Q27" s="2">
        <f>+C27-15018.5</f>
        <v>40787.833850000003</v>
      </c>
    </row>
    <row r="28" spans="1:17" x14ac:dyDescent="0.2">
      <c r="A28" s="41" t="s">
        <v>51</v>
      </c>
      <c r="B28" s="42" t="s">
        <v>41</v>
      </c>
      <c r="C28" s="43">
        <v>56095.430200000003</v>
      </c>
      <c r="D28" s="43">
        <v>1E-4</v>
      </c>
      <c r="E28">
        <f>+(C28-C$7)/C$8</f>
        <v>2893.5826006478469</v>
      </c>
      <c r="F28" s="44">
        <f>ROUND(2*E28,0)/2+0.5</f>
        <v>2894</v>
      </c>
      <c r="G28">
        <f>+C28-(C$7+F28*C$8)</f>
        <v>-0.27060000000346918</v>
      </c>
      <c r="I28">
        <f>+G28</f>
        <v>-0.27060000000346918</v>
      </c>
      <c r="O28">
        <f ca="1">+C$11+C$12*$F28</f>
        <v>-0.27064322325208784</v>
      </c>
      <c r="Q28" s="2">
        <f>+C28-15018.5</f>
        <v>41076.930200000003</v>
      </c>
    </row>
    <row r="29" spans="1:17" x14ac:dyDescent="0.2">
      <c r="A29" s="41" t="s">
        <v>51</v>
      </c>
      <c r="B29" s="42" t="s">
        <v>41</v>
      </c>
      <c r="C29" s="43">
        <v>56356.658190000002</v>
      </c>
      <c r="D29" s="43">
        <v>4.0000000000000002E-4</v>
      </c>
      <c r="E29">
        <f>+(C29-C$7)/C$8</f>
        <v>3296.5256671294133</v>
      </c>
      <c r="F29" s="44">
        <f>ROUND(2*E29,0)/2+0.5</f>
        <v>3297</v>
      </c>
      <c r="G29">
        <f>+C29-(C$7+F29*C$8)</f>
        <v>-0.30750999999872874</v>
      </c>
      <c r="I29">
        <f>+G29</f>
        <v>-0.30750999999872874</v>
      </c>
      <c r="O29">
        <f ca="1">+C$11+C$12*$F29</f>
        <v>-0.30899595269188174</v>
      </c>
      <c r="Q29" s="2">
        <f>+C29-15018.5</f>
        <v>41338.158190000002</v>
      </c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42"/>
  <sheetViews>
    <sheetView workbookViewId="0">
      <selection activeCell="A18" sqref="A18:D18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2" t="s">
        <v>54</v>
      </c>
      <c r="I1" s="53" t="s">
        <v>55</v>
      </c>
      <c r="J1" s="54" t="s">
        <v>56</v>
      </c>
    </row>
    <row r="2" spans="1:16" x14ac:dyDescent="0.2">
      <c r="I2" s="55" t="s">
        <v>57</v>
      </c>
      <c r="J2" s="56" t="s">
        <v>58</v>
      </c>
    </row>
    <row r="3" spans="1:16" x14ac:dyDescent="0.2">
      <c r="A3" s="57" t="s">
        <v>59</v>
      </c>
      <c r="I3" s="55" t="s">
        <v>60</v>
      </c>
      <c r="J3" s="56" t="s">
        <v>61</v>
      </c>
    </row>
    <row r="4" spans="1:16" x14ac:dyDescent="0.2">
      <c r="I4" s="55" t="s">
        <v>62</v>
      </c>
      <c r="J4" s="56" t="s">
        <v>61</v>
      </c>
    </row>
    <row r="5" spans="1:16" ht="13.5" thickBot="1" x14ac:dyDescent="0.25">
      <c r="I5" s="58" t="s">
        <v>63</v>
      </c>
      <c r="J5" s="59" t="s">
        <v>64</v>
      </c>
    </row>
    <row r="10" spans="1:16" ht="13.5" thickBot="1" x14ac:dyDescent="0.25"/>
    <row r="11" spans="1:16" ht="12.75" customHeight="1" thickBot="1" x14ac:dyDescent="0.25">
      <c r="A11" s="9" t="str">
        <f t="shared" ref="A11:A18" si="0">P11</f>
        <v>BAVM 186 </v>
      </c>
      <c r="B11" s="13" t="str">
        <f t="shared" ref="B11:B18" si="1">IF(H11=INT(H11),"I","II")</f>
        <v>I</v>
      </c>
      <c r="C11" s="9">
        <f t="shared" ref="C11:C18" si="2">1*G11</f>
        <v>54219.520600000003</v>
      </c>
      <c r="D11" s="11" t="str">
        <f t="shared" ref="D11:D18" si="3">VLOOKUP(F11,I$1:J$5,2,FALSE)</f>
        <v>vis</v>
      </c>
      <c r="E11" s="60">
        <f>VLOOKUP(C11,Active!C$21:E$973,3,FALSE)</f>
        <v>-3297.0073636467937</v>
      </c>
      <c r="F11" s="13" t="s">
        <v>63</v>
      </c>
      <c r="G11" s="11" t="str">
        <f t="shared" ref="G11:G18" si="4">MID(I11,3,LEN(I11)-3)</f>
        <v>54219.5206</v>
      </c>
      <c r="H11" s="9">
        <f t="shared" ref="H11:H18" si="5">1*K11</f>
        <v>2652</v>
      </c>
      <c r="I11" s="61" t="s">
        <v>65</v>
      </c>
      <c r="J11" s="62" t="s">
        <v>66</v>
      </c>
      <c r="K11" s="61">
        <v>2652</v>
      </c>
      <c r="L11" s="61" t="s">
        <v>67</v>
      </c>
      <c r="M11" s="62" t="s">
        <v>68</v>
      </c>
      <c r="N11" s="62" t="s">
        <v>69</v>
      </c>
      <c r="O11" s="63" t="s">
        <v>70</v>
      </c>
      <c r="P11" s="64" t="s">
        <v>71</v>
      </c>
    </row>
    <row r="12" spans="1:16" ht="12.75" customHeight="1" thickBot="1" x14ac:dyDescent="0.25">
      <c r="A12" s="9" t="str">
        <f t="shared" si="0"/>
        <v>BAVM 209 </v>
      </c>
      <c r="B12" s="13" t="str">
        <f t="shared" si="1"/>
        <v>I</v>
      </c>
      <c r="C12" s="9">
        <f t="shared" si="2"/>
        <v>54971.442499999997</v>
      </c>
      <c r="D12" s="11" t="str">
        <f t="shared" si="3"/>
        <v>vis</v>
      </c>
      <c r="E12" s="60">
        <f>VLOOKUP(C12,Active!C$21:E$973,3,FALSE)</f>
        <v>-2137.0007377270094</v>
      </c>
      <c r="F12" s="13" t="s">
        <v>63</v>
      </c>
      <c r="G12" s="11" t="str">
        <f t="shared" si="4"/>
        <v>54971.4425</v>
      </c>
      <c r="H12" s="9">
        <f t="shared" si="5"/>
        <v>3812</v>
      </c>
      <c r="I12" s="61" t="s">
        <v>72</v>
      </c>
      <c r="J12" s="62" t="s">
        <v>73</v>
      </c>
      <c r="K12" s="61" t="s">
        <v>74</v>
      </c>
      <c r="L12" s="61" t="s">
        <v>75</v>
      </c>
      <c r="M12" s="62" t="s">
        <v>68</v>
      </c>
      <c r="N12" s="62" t="s">
        <v>69</v>
      </c>
      <c r="O12" s="63" t="s">
        <v>70</v>
      </c>
      <c r="P12" s="64" t="s">
        <v>76</v>
      </c>
    </row>
    <row r="13" spans="1:16" ht="12.75" customHeight="1" thickBot="1" x14ac:dyDescent="0.25">
      <c r="A13" s="9" t="str">
        <f t="shared" si="0"/>
        <v>OEJV 0137 </v>
      </c>
      <c r="B13" s="13" t="str">
        <f t="shared" si="1"/>
        <v>I</v>
      </c>
      <c r="C13" s="9">
        <f t="shared" si="2"/>
        <v>55280.6345</v>
      </c>
      <c r="D13" s="11" t="str">
        <f t="shared" si="3"/>
        <v>vis</v>
      </c>
      <c r="E13" s="60">
        <f>VLOOKUP(C13,Active!C$21:E$973,3,FALSE)</f>
        <v>-1660.003367812134</v>
      </c>
      <c r="F13" s="13" t="s">
        <v>63</v>
      </c>
      <c r="G13" s="11" t="str">
        <f t="shared" si="4"/>
        <v>55280.6345</v>
      </c>
      <c r="H13" s="9">
        <f t="shared" si="5"/>
        <v>4289</v>
      </c>
      <c r="I13" s="61" t="s">
        <v>77</v>
      </c>
      <c r="J13" s="62" t="s">
        <v>78</v>
      </c>
      <c r="K13" s="61" t="s">
        <v>79</v>
      </c>
      <c r="L13" s="61" t="s">
        <v>80</v>
      </c>
      <c r="M13" s="62" t="s">
        <v>68</v>
      </c>
      <c r="N13" s="62" t="s">
        <v>55</v>
      </c>
      <c r="O13" s="63" t="s">
        <v>81</v>
      </c>
      <c r="P13" s="64" t="s">
        <v>82</v>
      </c>
    </row>
    <row r="14" spans="1:16" ht="12.75" customHeight="1" thickBot="1" x14ac:dyDescent="0.25">
      <c r="A14" s="9" t="str">
        <f t="shared" si="0"/>
        <v>IBVS 5992 </v>
      </c>
      <c r="B14" s="13" t="str">
        <f t="shared" si="1"/>
        <v>I</v>
      </c>
      <c r="C14" s="9">
        <f t="shared" si="2"/>
        <v>55722.713000000003</v>
      </c>
      <c r="D14" s="11" t="str">
        <f t="shared" si="3"/>
        <v>vis</v>
      </c>
      <c r="E14" s="60">
        <f>VLOOKUP(C14,Active!C$21:E$973,3,FALSE)</f>
        <v>-977.99904106398731</v>
      </c>
      <c r="F14" s="13" t="s">
        <v>63</v>
      </c>
      <c r="G14" s="11" t="str">
        <f t="shared" si="4"/>
        <v>55722.713</v>
      </c>
      <c r="H14" s="9">
        <f t="shared" si="5"/>
        <v>4971</v>
      </c>
      <c r="I14" s="61" t="s">
        <v>90</v>
      </c>
      <c r="J14" s="62" t="s">
        <v>91</v>
      </c>
      <c r="K14" s="61" t="s">
        <v>92</v>
      </c>
      <c r="L14" s="61" t="s">
        <v>93</v>
      </c>
      <c r="M14" s="62" t="s">
        <v>68</v>
      </c>
      <c r="N14" s="62" t="s">
        <v>63</v>
      </c>
      <c r="O14" s="63" t="s">
        <v>94</v>
      </c>
      <c r="P14" s="64" t="s">
        <v>95</v>
      </c>
    </row>
    <row r="15" spans="1:16" ht="12.75" customHeight="1" thickBot="1" x14ac:dyDescent="0.25">
      <c r="A15" s="9" t="str">
        <f t="shared" si="0"/>
        <v>OEJV 0160 </v>
      </c>
      <c r="B15" s="13" t="str">
        <f t="shared" si="1"/>
        <v>I</v>
      </c>
      <c r="C15" s="9">
        <f t="shared" si="2"/>
        <v>55806.333850000003</v>
      </c>
      <c r="D15" s="11" t="str">
        <f t="shared" si="3"/>
        <v>vis</v>
      </c>
      <c r="E15" s="60">
        <f>VLOOKUP(C15,Active!C$21:E$973,3,FALSE)</f>
        <v>-848.99529737060061</v>
      </c>
      <c r="F15" s="13" t="s">
        <v>63</v>
      </c>
      <c r="G15" s="11" t="str">
        <f t="shared" si="4"/>
        <v>55806.33385</v>
      </c>
      <c r="H15" s="9">
        <f t="shared" si="5"/>
        <v>5100</v>
      </c>
      <c r="I15" s="61" t="s">
        <v>96</v>
      </c>
      <c r="J15" s="62" t="s">
        <v>97</v>
      </c>
      <c r="K15" s="61" t="s">
        <v>98</v>
      </c>
      <c r="L15" s="61" t="s">
        <v>99</v>
      </c>
      <c r="M15" s="62" t="s">
        <v>68</v>
      </c>
      <c r="N15" s="62" t="s">
        <v>100</v>
      </c>
      <c r="O15" s="63" t="s">
        <v>101</v>
      </c>
      <c r="P15" s="64" t="s">
        <v>102</v>
      </c>
    </row>
    <row r="16" spans="1:16" ht="12.75" customHeight="1" thickBot="1" x14ac:dyDescent="0.25">
      <c r="A16" s="9" t="str">
        <f t="shared" si="0"/>
        <v>OEJV 0160 </v>
      </c>
      <c r="B16" s="13" t="str">
        <f t="shared" si="1"/>
        <v>I</v>
      </c>
      <c r="C16" s="9">
        <f t="shared" si="2"/>
        <v>56095.430200000003</v>
      </c>
      <c r="D16" s="11" t="str">
        <f t="shared" si="3"/>
        <v>vis</v>
      </c>
      <c r="E16" s="60">
        <f>VLOOKUP(C16,Active!C$21:E$973,3,FALSE)</f>
        <v>-402.99993331852619</v>
      </c>
      <c r="F16" s="13" t="s">
        <v>63</v>
      </c>
      <c r="G16" s="11" t="str">
        <f t="shared" si="4"/>
        <v>56095.4302</v>
      </c>
      <c r="H16" s="9">
        <f t="shared" si="5"/>
        <v>5546</v>
      </c>
      <c r="I16" s="61" t="s">
        <v>103</v>
      </c>
      <c r="J16" s="62" t="s">
        <v>104</v>
      </c>
      <c r="K16" s="61" t="s">
        <v>105</v>
      </c>
      <c r="L16" s="61" t="s">
        <v>106</v>
      </c>
      <c r="M16" s="62" t="s">
        <v>68</v>
      </c>
      <c r="N16" s="62" t="s">
        <v>100</v>
      </c>
      <c r="O16" s="63" t="s">
        <v>107</v>
      </c>
      <c r="P16" s="64" t="s">
        <v>102</v>
      </c>
    </row>
    <row r="17" spans="1:16" ht="12.75" customHeight="1" thickBot="1" x14ac:dyDescent="0.25">
      <c r="A17" s="9" t="str">
        <f t="shared" si="0"/>
        <v>OEJV 0160 </v>
      </c>
      <c r="B17" s="13" t="str">
        <f t="shared" si="1"/>
        <v>I</v>
      </c>
      <c r="C17" s="9">
        <f t="shared" si="2"/>
        <v>56356.658190000002</v>
      </c>
      <c r="D17" s="11" t="str">
        <f t="shared" si="3"/>
        <v>vis</v>
      </c>
      <c r="E17" s="60">
        <f>VLOOKUP(C17,Active!C$21:E$973,3,FALSE)</f>
        <v>2.2924122430660336E-3</v>
      </c>
      <c r="F17" s="13" t="s">
        <v>63</v>
      </c>
      <c r="G17" s="11" t="str">
        <f t="shared" si="4"/>
        <v>56356.65819</v>
      </c>
      <c r="H17" s="9">
        <f t="shared" si="5"/>
        <v>5949</v>
      </c>
      <c r="I17" s="61" t="s">
        <v>108</v>
      </c>
      <c r="J17" s="62" t="s">
        <v>109</v>
      </c>
      <c r="K17" s="61" t="s">
        <v>110</v>
      </c>
      <c r="L17" s="61" t="s">
        <v>111</v>
      </c>
      <c r="M17" s="62" t="s">
        <v>68</v>
      </c>
      <c r="N17" s="62" t="s">
        <v>55</v>
      </c>
      <c r="O17" s="63" t="s">
        <v>101</v>
      </c>
      <c r="P17" s="64" t="s">
        <v>102</v>
      </c>
    </row>
    <row r="18" spans="1:16" ht="12.75" customHeight="1" thickBot="1" x14ac:dyDescent="0.25">
      <c r="A18" s="9" t="str">
        <f t="shared" si="0"/>
        <v>BAVM 225 </v>
      </c>
      <c r="B18" s="13" t="str">
        <f t="shared" si="1"/>
        <v>I</v>
      </c>
      <c r="C18" s="9">
        <f t="shared" si="2"/>
        <v>55682.524100000002</v>
      </c>
      <c r="D18" s="11" t="str">
        <f t="shared" si="3"/>
        <v>vis</v>
      </c>
      <c r="E18" s="60">
        <f>VLOOKUP(C18,Active!C$21:E$973,3,FALSE)</f>
        <v>-1039.999350256244</v>
      </c>
      <c r="F18" s="13" t="s">
        <v>63</v>
      </c>
      <c r="G18" s="11" t="str">
        <f t="shared" si="4"/>
        <v>55682.5241</v>
      </c>
      <c r="H18" s="9">
        <f t="shared" si="5"/>
        <v>4909</v>
      </c>
      <c r="I18" s="61" t="s">
        <v>83</v>
      </c>
      <c r="J18" s="62" t="s">
        <v>84</v>
      </c>
      <c r="K18" s="61" t="s">
        <v>85</v>
      </c>
      <c r="L18" s="61" t="s">
        <v>86</v>
      </c>
      <c r="M18" s="62" t="s">
        <v>68</v>
      </c>
      <c r="N18" s="62" t="s">
        <v>87</v>
      </c>
      <c r="O18" s="63" t="s">
        <v>88</v>
      </c>
      <c r="P18" s="64" t="s">
        <v>89</v>
      </c>
    </row>
    <row r="19" spans="1:16" x14ac:dyDescent="0.2">
      <c r="B19" s="13"/>
      <c r="E19" s="60"/>
      <c r="F19" s="13"/>
    </row>
    <row r="20" spans="1:16" x14ac:dyDescent="0.2">
      <c r="B20" s="13"/>
      <c r="E20" s="60"/>
      <c r="F20" s="13"/>
    </row>
    <row r="21" spans="1:16" x14ac:dyDescent="0.2">
      <c r="B21" s="13"/>
      <c r="E21" s="60"/>
      <c r="F21" s="13"/>
    </row>
    <row r="22" spans="1:16" x14ac:dyDescent="0.2">
      <c r="B22" s="13"/>
      <c r="E22" s="60"/>
      <c r="F22" s="13"/>
    </row>
    <row r="23" spans="1:16" x14ac:dyDescent="0.2">
      <c r="B23" s="13"/>
      <c r="E23" s="60"/>
      <c r="F23" s="13"/>
    </row>
    <row r="24" spans="1:16" x14ac:dyDescent="0.2">
      <c r="B24" s="13"/>
      <c r="E24" s="60"/>
      <c r="F24" s="13"/>
    </row>
    <row r="25" spans="1:16" x14ac:dyDescent="0.2">
      <c r="B25" s="13"/>
      <c r="E25" s="60"/>
      <c r="F25" s="13"/>
    </row>
    <row r="26" spans="1:16" x14ac:dyDescent="0.2">
      <c r="B26" s="13"/>
      <c r="E26" s="60"/>
      <c r="F26" s="13"/>
    </row>
    <row r="27" spans="1:16" x14ac:dyDescent="0.2">
      <c r="B27" s="13"/>
      <c r="E27" s="60"/>
      <c r="F27" s="13"/>
    </row>
    <row r="28" spans="1:16" x14ac:dyDescent="0.2">
      <c r="B28" s="13"/>
      <c r="E28" s="60"/>
      <c r="F28" s="13"/>
    </row>
    <row r="29" spans="1:16" x14ac:dyDescent="0.2">
      <c r="B29" s="13"/>
      <c r="E29" s="60"/>
      <c r="F29" s="13"/>
    </row>
    <row r="30" spans="1:16" x14ac:dyDescent="0.2">
      <c r="B30" s="13"/>
      <c r="E30" s="60"/>
      <c r="F30" s="13"/>
    </row>
    <row r="31" spans="1:16" x14ac:dyDescent="0.2">
      <c r="B31" s="13"/>
      <c r="E31" s="60"/>
      <c r="F31" s="13"/>
    </row>
    <row r="32" spans="1:16" x14ac:dyDescent="0.2">
      <c r="B32" s="13"/>
      <c r="E32" s="60"/>
      <c r="F32" s="13"/>
    </row>
    <row r="33" spans="2:6" x14ac:dyDescent="0.2">
      <c r="B33" s="13"/>
      <c r="E33" s="60"/>
      <c r="F33" s="13"/>
    </row>
    <row r="34" spans="2:6" x14ac:dyDescent="0.2">
      <c r="B34" s="13"/>
      <c r="E34" s="60"/>
      <c r="F34" s="13"/>
    </row>
    <row r="35" spans="2:6" x14ac:dyDescent="0.2">
      <c r="B35" s="13"/>
      <c r="E35" s="60"/>
      <c r="F35" s="13"/>
    </row>
    <row r="36" spans="2:6" x14ac:dyDescent="0.2">
      <c r="B36" s="13"/>
      <c r="E36" s="60"/>
      <c r="F36" s="13"/>
    </row>
    <row r="37" spans="2:6" x14ac:dyDescent="0.2">
      <c r="B37" s="13"/>
      <c r="E37" s="60"/>
      <c r="F37" s="13"/>
    </row>
    <row r="38" spans="2:6" x14ac:dyDescent="0.2">
      <c r="B38" s="13"/>
      <c r="E38" s="60"/>
      <c r="F38" s="13"/>
    </row>
    <row r="39" spans="2:6" x14ac:dyDescent="0.2">
      <c r="B39" s="13"/>
      <c r="E39" s="60"/>
      <c r="F39" s="13"/>
    </row>
    <row r="40" spans="2:6" x14ac:dyDescent="0.2">
      <c r="B40" s="13"/>
      <c r="E40" s="60"/>
      <c r="F40" s="13"/>
    </row>
    <row r="41" spans="2:6" x14ac:dyDescent="0.2">
      <c r="B41" s="13"/>
      <c r="E41" s="60"/>
      <c r="F41" s="13"/>
    </row>
    <row r="42" spans="2:6" x14ac:dyDescent="0.2">
      <c r="B42" s="13"/>
      <c r="E42" s="60"/>
      <c r="F42" s="13"/>
    </row>
    <row r="43" spans="2:6" x14ac:dyDescent="0.2">
      <c r="B43" s="13"/>
      <c r="E43" s="60"/>
      <c r="F43" s="13"/>
    </row>
    <row r="44" spans="2:6" x14ac:dyDescent="0.2">
      <c r="B44" s="13"/>
      <c r="E44" s="60"/>
      <c r="F44" s="13"/>
    </row>
    <row r="45" spans="2:6" x14ac:dyDescent="0.2">
      <c r="B45" s="13"/>
      <c r="E45" s="60"/>
      <c r="F45" s="13"/>
    </row>
    <row r="46" spans="2:6" x14ac:dyDescent="0.2">
      <c r="B46" s="13"/>
      <c r="E46" s="60"/>
      <c r="F46" s="13"/>
    </row>
    <row r="47" spans="2:6" x14ac:dyDescent="0.2">
      <c r="B47" s="13"/>
      <c r="E47" s="60"/>
      <c r="F47" s="13"/>
    </row>
    <row r="48" spans="2:6" x14ac:dyDescent="0.2">
      <c r="B48" s="13"/>
      <c r="E48" s="60"/>
      <c r="F48" s="13"/>
    </row>
    <row r="49" spans="2:6" x14ac:dyDescent="0.2">
      <c r="B49" s="13"/>
      <c r="E49" s="60"/>
      <c r="F49" s="13"/>
    </row>
    <row r="50" spans="2:6" x14ac:dyDescent="0.2">
      <c r="B50" s="13"/>
      <c r="E50" s="60"/>
      <c r="F50" s="13"/>
    </row>
    <row r="51" spans="2:6" x14ac:dyDescent="0.2">
      <c r="B51" s="13"/>
      <c r="E51" s="60"/>
      <c r="F51" s="13"/>
    </row>
    <row r="52" spans="2:6" x14ac:dyDescent="0.2">
      <c r="B52" s="13"/>
      <c r="E52" s="60"/>
      <c r="F52" s="13"/>
    </row>
    <row r="53" spans="2:6" x14ac:dyDescent="0.2">
      <c r="B53" s="13"/>
      <c r="E53" s="60"/>
      <c r="F53" s="13"/>
    </row>
    <row r="54" spans="2:6" x14ac:dyDescent="0.2">
      <c r="B54" s="13"/>
      <c r="E54" s="60"/>
      <c r="F54" s="13"/>
    </row>
    <row r="55" spans="2:6" x14ac:dyDescent="0.2">
      <c r="B55" s="13"/>
      <c r="F55" s="13"/>
    </row>
    <row r="56" spans="2:6" x14ac:dyDescent="0.2">
      <c r="B56" s="13"/>
      <c r="F56" s="13"/>
    </row>
    <row r="57" spans="2:6" x14ac:dyDescent="0.2">
      <c r="B57" s="13"/>
      <c r="F57" s="13"/>
    </row>
    <row r="58" spans="2:6" x14ac:dyDescent="0.2">
      <c r="B58" s="13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  <row r="818" spans="2:6" x14ac:dyDescent="0.2">
      <c r="B818" s="13"/>
      <c r="F818" s="13"/>
    </row>
    <row r="819" spans="2:6" x14ac:dyDescent="0.2">
      <c r="B819" s="13"/>
      <c r="F819" s="13"/>
    </row>
    <row r="820" spans="2:6" x14ac:dyDescent="0.2">
      <c r="B820" s="13"/>
      <c r="F820" s="13"/>
    </row>
    <row r="821" spans="2:6" x14ac:dyDescent="0.2">
      <c r="B821" s="13"/>
      <c r="F821" s="13"/>
    </row>
    <row r="822" spans="2:6" x14ac:dyDescent="0.2">
      <c r="B822" s="13"/>
      <c r="F822" s="13"/>
    </row>
    <row r="823" spans="2:6" x14ac:dyDescent="0.2">
      <c r="B823" s="13"/>
      <c r="F823" s="13"/>
    </row>
    <row r="824" spans="2:6" x14ac:dyDescent="0.2">
      <c r="B824" s="13"/>
      <c r="F824" s="13"/>
    </row>
    <row r="825" spans="2:6" x14ac:dyDescent="0.2">
      <c r="B825" s="13"/>
      <c r="F825" s="13"/>
    </row>
    <row r="826" spans="2:6" x14ac:dyDescent="0.2">
      <c r="B826" s="13"/>
      <c r="F826" s="13"/>
    </row>
    <row r="827" spans="2:6" x14ac:dyDescent="0.2">
      <c r="B827" s="13"/>
      <c r="F827" s="13"/>
    </row>
    <row r="828" spans="2:6" x14ac:dyDescent="0.2">
      <c r="B828" s="13"/>
      <c r="F828" s="13"/>
    </row>
    <row r="829" spans="2:6" x14ac:dyDescent="0.2">
      <c r="B829" s="13"/>
      <c r="F829" s="13"/>
    </row>
    <row r="830" spans="2:6" x14ac:dyDescent="0.2">
      <c r="B830" s="13"/>
      <c r="F830" s="13"/>
    </row>
    <row r="831" spans="2:6" x14ac:dyDescent="0.2">
      <c r="B831" s="13"/>
      <c r="F831" s="13"/>
    </row>
    <row r="832" spans="2:6" x14ac:dyDescent="0.2">
      <c r="B832" s="13"/>
      <c r="F832" s="13"/>
    </row>
    <row r="833" spans="2:6" x14ac:dyDescent="0.2">
      <c r="B833" s="13"/>
      <c r="F833" s="13"/>
    </row>
    <row r="834" spans="2:6" x14ac:dyDescent="0.2">
      <c r="B834" s="13"/>
      <c r="F834" s="13"/>
    </row>
    <row r="835" spans="2:6" x14ac:dyDescent="0.2">
      <c r="B835" s="13"/>
      <c r="F835" s="13"/>
    </row>
    <row r="836" spans="2:6" x14ac:dyDescent="0.2">
      <c r="B836" s="13"/>
      <c r="F836" s="13"/>
    </row>
    <row r="837" spans="2:6" x14ac:dyDescent="0.2">
      <c r="B837" s="13"/>
      <c r="F837" s="13"/>
    </row>
    <row r="838" spans="2:6" x14ac:dyDescent="0.2">
      <c r="B838" s="13"/>
      <c r="F838" s="13"/>
    </row>
    <row r="839" spans="2:6" x14ac:dyDescent="0.2">
      <c r="B839" s="13"/>
      <c r="F839" s="13"/>
    </row>
    <row r="840" spans="2:6" x14ac:dyDescent="0.2">
      <c r="B840" s="13"/>
      <c r="F840" s="13"/>
    </row>
    <row r="841" spans="2:6" x14ac:dyDescent="0.2">
      <c r="B841" s="13"/>
      <c r="F841" s="13"/>
    </row>
    <row r="842" spans="2:6" x14ac:dyDescent="0.2">
      <c r="B842" s="13"/>
      <c r="F842" s="13"/>
    </row>
  </sheetData>
  <phoneticPr fontId="8" type="noConversion"/>
  <hyperlinks>
    <hyperlink ref="P11" r:id="rId1" display="http://www.bav-astro.de/sfs/BAVM_link.php?BAVMnr=186"/>
    <hyperlink ref="P12" r:id="rId2" display="http://www.bav-astro.de/sfs/BAVM_link.php?BAVMnr=209"/>
    <hyperlink ref="P13" r:id="rId3" display="http://var.astro.cz/oejv/issues/oejv0137.pdf"/>
    <hyperlink ref="P18" r:id="rId4" display="http://www.bav-astro.de/sfs/BAVM_link.php?BAVMnr=225"/>
    <hyperlink ref="P14" r:id="rId5" display="http://www.konkoly.hu/cgi-bin/IBVS?5992"/>
    <hyperlink ref="P15" r:id="rId6" display="http://var.astro.cz/oejv/issues/oejv0160.pdf"/>
    <hyperlink ref="P16" r:id="rId7" display="http://var.astro.cz/oejv/issues/oejv0160.pdf"/>
    <hyperlink ref="P17" r:id="rId8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2024-02-14T05:12:48Z</dcterms:modified>
</cp:coreProperties>
</file>