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6F671CBB-6336-4F38-AD1C-D09F9523DA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D9" i="1" l="1"/>
  <c r="C9" i="1"/>
  <c r="Q62" i="1"/>
  <c r="Q63" i="1"/>
  <c r="Q64" i="1"/>
  <c r="Q49" i="1"/>
  <c r="Q32" i="1"/>
  <c r="Q31" i="1"/>
  <c r="Q30" i="1"/>
  <c r="Q29" i="1"/>
  <c r="Q28" i="1"/>
  <c r="Q27" i="1"/>
  <c r="Q26" i="1"/>
  <c r="Q25" i="1"/>
  <c r="Q24" i="1"/>
  <c r="Q23" i="1"/>
  <c r="Q22" i="1"/>
  <c r="Q21" i="1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46" i="2"/>
  <c r="C4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46" i="2"/>
  <c r="D46" i="2"/>
  <c r="B46" i="2"/>
  <c r="A4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Q59" i="1"/>
  <c r="Q61" i="1"/>
  <c r="Q60" i="1"/>
  <c r="Q58" i="1"/>
  <c r="Q52" i="1"/>
  <c r="Q53" i="1"/>
  <c r="Q54" i="1"/>
  <c r="Q55" i="1"/>
  <c r="Q56" i="1"/>
  <c r="Q57" i="1"/>
  <c r="Q48" i="1"/>
  <c r="Q51" i="1"/>
  <c r="F16" i="1"/>
  <c r="C17" i="1"/>
  <c r="Q50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D4" i="1"/>
  <c r="C8" i="1"/>
  <c r="C4" i="1"/>
  <c r="B2" i="1"/>
  <c r="C7" i="1"/>
  <c r="E62" i="1"/>
  <c r="F62" i="1"/>
  <c r="Q33" i="1"/>
  <c r="E35" i="2"/>
  <c r="E18" i="2"/>
  <c r="E24" i="2"/>
  <c r="E12" i="2"/>
  <c r="E37" i="2"/>
  <c r="E11" i="2"/>
  <c r="E38" i="2"/>
  <c r="E20" i="2"/>
  <c r="E34" i="2"/>
  <c r="E44" i="2"/>
  <c r="E26" i="2"/>
  <c r="E15" i="2"/>
  <c r="E32" i="2"/>
  <c r="E33" i="2"/>
  <c r="E28" i="2"/>
  <c r="E54" i="1"/>
  <c r="F54" i="1"/>
  <c r="G47" i="1"/>
  <c r="J47" i="1"/>
  <c r="E45" i="1"/>
  <c r="F45" i="1"/>
  <c r="G45" i="1"/>
  <c r="K45" i="1"/>
  <c r="G39" i="1"/>
  <c r="J39" i="1"/>
  <c r="E37" i="1"/>
  <c r="F37" i="1"/>
  <c r="G37" i="1"/>
  <c r="J37" i="1"/>
  <c r="E30" i="1"/>
  <c r="F30" i="1"/>
  <c r="E22" i="1"/>
  <c r="F22" i="1"/>
  <c r="G61" i="1"/>
  <c r="K61" i="1"/>
  <c r="E59" i="1"/>
  <c r="F59" i="1"/>
  <c r="G59" i="1"/>
  <c r="K59" i="1"/>
  <c r="G53" i="1"/>
  <c r="K53" i="1"/>
  <c r="E51" i="1"/>
  <c r="F51" i="1"/>
  <c r="G51" i="1"/>
  <c r="J51" i="1"/>
  <c r="E42" i="1"/>
  <c r="F42" i="1"/>
  <c r="E34" i="1"/>
  <c r="F34" i="1"/>
  <c r="G29" i="1"/>
  <c r="I29" i="1"/>
  <c r="E27" i="1"/>
  <c r="F27" i="1"/>
  <c r="G27" i="1"/>
  <c r="I27" i="1"/>
  <c r="G21" i="1"/>
  <c r="I21" i="1"/>
  <c r="E64" i="1"/>
  <c r="F64" i="1"/>
  <c r="G64" i="1"/>
  <c r="K64" i="1"/>
  <c r="E56" i="1"/>
  <c r="F56" i="1"/>
  <c r="G56" i="1"/>
  <c r="J56" i="1"/>
  <c r="E47" i="1"/>
  <c r="F47" i="1"/>
  <c r="E39" i="1"/>
  <c r="F39" i="1"/>
  <c r="E32" i="1"/>
  <c r="F32" i="1"/>
  <c r="G32" i="1"/>
  <c r="I32" i="1"/>
  <c r="E24" i="1"/>
  <c r="F24" i="1"/>
  <c r="G24" i="1"/>
  <c r="I24" i="1"/>
  <c r="E61" i="1"/>
  <c r="F61" i="1"/>
  <c r="E53" i="1"/>
  <c r="F53" i="1"/>
  <c r="E44" i="1"/>
  <c r="F44" i="1"/>
  <c r="G44" i="1"/>
  <c r="E36" i="1"/>
  <c r="F36" i="1"/>
  <c r="G36" i="1"/>
  <c r="K36" i="1"/>
  <c r="E29" i="1"/>
  <c r="F29" i="1"/>
  <c r="E21" i="1"/>
  <c r="F21" i="1"/>
  <c r="G60" i="1"/>
  <c r="K60" i="1"/>
  <c r="E58" i="1"/>
  <c r="F58" i="1"/>
  <c r="G58" i="1"/>
  <c r="K58" i="1"/>
  <c r="G52" i="1"/>
  <c r="K52" i="1"/>
  <c r="E50" i="1"/>
  <c r="F50" i="1"/>
  <c r="G50" i="1"/>
  <c r="K50" i="1"/>
  <c r="E41" i="1"/>
  <c r="F41" i="1"/>
  <c r="G41" i="1"/>
  <c r="J41" i="1"/>
  <c r="G35" i="1"/>
  <c r="K35" i="1"/>
  <c r="E33" i="1"/>
  <c r="F33" i="1"/>
  <c r="G33" i="1"/>
  <c r="I33" i="1"/>
  <c r="G28" i="1"/>
  <c r="I28" i="1"/>
  <c r="E26" i="1"/>
  <c r="F26" i="1"/>
  <c r="G26" i="1"/>
  <c r="I26" i="1"/>
  <c r="E63" i="1"/>
  <c r="F63" i="1"/>
  <c r="G63" i="1"/>
  <c r="K63" i="1"/>
  <c r="E55" i="1"/>
  <c r="F55" i="1"/>
  <c r="G55" i="1"/>
  <c r="K55" i="1"/>
  <c r="G48" i="1"/>
  <c r="J48" i="1"/>
  <c r="E46" i="1"/>
  <c r="F46" i="1"/>
  <c r="G46" i="1"/>
  <c r="K46" i="1"/>
  <c r="G40" i="1"/>
  <c r="J40" i="1"/>
  <c r="E38" i="1"/>
  <c r="F38" i="1"/>
  <c r="G38" i="1"/>
  <c r="J38" i="1"/>
  <c r="E31" i="1"/>
  <c r="F31" i="1"/>
  <c r="G31" i="1"/>
  <c r="I31" i="1"/>
  <c r="E23" i="1"/>
  <c r="F23" i="1"/>
  <c r="G23" i="1"/>
  <c r="I23" i="1"/>
  <c r="G62" i="1"/>
  <c r="K62" i="1"/>
  <c r="E60" i="1"/>
  <c r="F60" i="1"/>
  <c r="G54" i="1"/>
  <c r="K54" i="1"/>
  <c r="E52" i="1"/>
  <c r="F52" i="1"/>
  <c r="E43" i="1"/>
  <c r="F43" i="1"/>
  <c r="G43" i="1"/>
  <c r="J43" i="1"/>
  <c r="E35" i="1"/>
  <c r="F35" i="1"/>
  <c r="G30" i="1"/>
  <c r="I30" i="1"/>
  <c r="E28" i="1"/>
  <c r="F28" i="1"/>
  <c r="G22" i="1"/>
  <c r="I22" i="1"/>
  <c r="E57" i="1"/>
  <c r="F57" i="1"/>
  <c r="G57" i="1"/>
  <c r="J57" i="1"/>
  <c r="E48" i="1"/>
  <c r="F48" i="1"/>
  <c r="G42" i="1"/>
  <c r="J42" i="1"/>
  <c r="E40" i="1"/>
  <c r="F40" i="1"/>
  <c r="G34" i="1"/>
  <c r="K34" i="1"/>
  <c r="E49" i="1"/>
  <c r="F49" i="1"/>
  <c r="G49" i="1"/>
  <c r="K49" i="1"/>
  <c r="E25" i="1"/>
  <c r="F25" i="1"/>
  <c r="G25" i="1"/>
  <c r="I25" i="1"/>
  <c r="K44" i="1"/>
  <c r="E21" i="2"/>
  <c r="E31" i="2"/>
  <c r="E45" i="2"/>
  <c r="E30" i="2"/>
  <c r="E29" i="2"/>
  <c r="E19" i="2"/>
  <c r="E39" i="2"/>
  <c r="E46" i="2"/>
  <c r="E25" i="2"/>
  <c r="E41" i="2"/>
  <c r="E13" i="2"/>
  <c r="E36" i="2"/>
  <c r="E22" i="2"/>
  <c r="E14" i="2"/>
  <c r="E43" i="2"/>
  <c r="E42" i="2"/>
  <c r="E23" i="2"/>
  <c r="E16" i="2"/>
  <c r="E17" i="2"/>
  <c r="E40" i="2"/>
  <c r="E27" i="2"/>
  <c r="C11" i="1"/>
  <c r="C12" i="1"/>
  <c r="C16" i="1" l="1"/>
  <c r="D18" i="1" s="1"/>
  <c r="O60" i="1"/>
  <c r="O53" i="1"/>
  <c r="O42" i="1"/>
  <c r="O28" i="1"/>
  <c r="O58" i="1"/>
  <c r="O39" i="1"/>
  <c r="O57" i="1"/>
  <c r="O46" i="1"/>
  <c r="O25" i="1"/>
  <c r="O36" i="1"/>
  <c r="C15" i="1"/>
  <c r="O32" i="1"/>
  <c r="O33" i="1"/>
  <c r="O40" i="1"/>
  <c r="O24" i="1"/>
  <c r="O47" i="1"/>
  <c r="O31" i="1"/>
  <c r="O51" i="1"/>
  <c r="O44" i="1"/>
  <c r="O64" i="1"/>
  <c r="O35" i="1"/>
  <c r="O55" i="1"/>
  <c r="O41" i="1"/>
  <c r="O26" i="1"/>
  <c r="O23" i="1"/>
  <c r="O63" i="1"/>
  <c r="O59" i="1"/>
  <c r="O27" i="1"/>
  <c r="O43" i="1"/>
  <c r="O61" i="1"/>
  <c r="O54" i="1"/>
  <c r="O49" i="1"/>
  <c r="O50" i="1"/>
  <c r="O52" i="1"/>
  <c r="O29" i="1"/>
  <c r="O34" i="1"/>
  <c r="O48" i="1"/>
  <c r="O30" i="1"/>
  <c r="O37" i="1"/>
  <c r="O56" i="1"/>
  <c r="O21" i="1"/>
  <c r="O38" i="1"/>
  <c r="O62" i="1"/>
  <c r="O22" i="1"/>
  <c r="O45" i="1"/>
  <c r="F17" i="1"/>
  <c r="C18" i="1" l="1"/>
  <c r="F18" i="1"/>
  <c r="F19" i="1" s="1"/>
</calcChain>
</file>

<file path=xl/sharedStrings.xml><?xml version="1.0" encoding="utf-8"?>
<sst xmlns="http://schemas.openxmlformats.org/spreadsheetml/2006/main" count="453" uniqueCount="213">
  <si>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</si>
  <si>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</si>
  <si>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</si>
  <si>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</si>
  <si>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</si>
  <si>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</si>
  <si>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</si>
  <si>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</si>
  <si>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</si>
  <si>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</si>
  <si>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</si>
  <si>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</si>
  <si>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</si>
  <si>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</si>
  <si>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</si>
  <si>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</si>
  <si>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</si>
  <si>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</si>
  <si>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</si>
  <si>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</si>
  <si>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</si>
  <si>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</si>
  <si>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</si>
  <si>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</si>
  <si>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</si>
  <si>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</si>
  <si>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</si>
  <si>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</si>
  <si>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</si>
  <si>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</si>
  <si>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</si>
  <si>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</si>
  <si>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</si>
  <si>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</si>
  <si>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</si>
  <si>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</si>
  <si>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V1062 Her / GSC 3099-0905               </t>
  </si>
  <si>
    <t xml:space="preserve">EW        </t>
  </si>
  <si>
    <t>IBVS 5438</t>
  </si>
  <si>
    <t>IBVS 5543</t>
  </si>
  <si>
    <t>II</t>
  </si>
  <si>
    <t>IBVS 5802</t>
  </si>
  <si>
    <t>IBVS 5657</t>
  </si>
  <si>
    <t>IBVS 5731</t>
  </si>
  <si>
    <t>IBVS 5713</t>
  </si>
  <si>
    <t>IBVS 5781</t>
  </si>
  <si>
    <t>IBVS 5920</t>
  </si>
  <si>
    <t>Add cycle</t>
  </si>
  <si>
    <t>Old Cycle</t>
  </si>
  <si>
    <t>IBVS 5918</t>
  </si>
  <si>
    <t>IBVS 5959</t>
  </si>
  <si>
    <t>OEJV 0160</t>
  </si>
  <si>
    <t>IBVS 6070</t>
  </si>
  <si>
    <t>OEJV 0168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</si>
  <si>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</si>
  <si>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</si>
  <si>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</si>
  <si>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</si>
  <si>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</si>
  <si>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</si>
  <si>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</si>
  <si>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</si>
  <si>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</si>
  <si>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</si>
  <si>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</si>
  <si>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2451305.7095 </t>
  </si>
  <si>
    <t> 07.05.1999 05:01 </t>
  </si>
  <si>
    <t> 0.0119 </t>
  </si>
  <si>
    <t>E </t>
  </si>
  <si>
    <t>?</t>
  </si>
  <si>
    <t> Blättler&amp;Diethelm </t>
  </si>
  <si>
    <t>IBVS 4965 </t>
  </si>
  <si>
    <t>2451311.8712 </t>
  </si>
  <si>
    <t> 13.05.1999 08:54 </t>
  </si>
  <si>
    <t> 0.0134 </t>
  </si>
  <si>
    <t>2451746.4764 </t>
  </si>
  <si>
    <t> 20.07.2000 23:26 </t>
  </si>
  <si>
    <t> 0.0110 </t>
  </si>
  <si>
    <t> E.Blättler </t>
  </si>
  <si>
    <t> BBS 123 </t>
  </si>
  <si>
    <t>2451752.3868 </t>
  </si>
  <si>
    <t> 26.07.2000 21:16 </t>
  </si>
  <si>
    <t> 0.0126 </t>
  </si>
  <si>
    <t>2451752.5136 </t>
  </si>
  <si>
    <t> 27.07.2000 00:19 </t>
  </si>
  <si>
    <t> 0.0137 </t>
  </si>
  <si>
    <t>2451767.3485 </t>
  </si>
  <si>
    <t> 10.08.2000 20:21 </t>
  </si>
  <si>
    <t> 0.0139 </t>
  </si>
  <si>
    <t>2451773.3793 </t>
  </si>
  <si>
    <t> 16.08.2000 21:06 </t>
  </si>
  <si>
    <t> 0.0102 </t>
  </si>
  <si>
    <t>2451773.5052 </t>
  </si>
  <si>
    <t> 17.08.2000 00:07 </t>
  </si>
  <si>
    <t> 0.0104 </t>
  </si>
  <si>
    <t>2451781.4265 </t>
  </si>
  <si>
    <t> 24.08.2000 22:14 </t>
  </si>
  <si>
    <t> 0.0114 </t>
  </si>
  <si>
    <t>2451781.5518 </t>
  </si>
  <si>
    <t> 25.08.2000 01:14 </t>
  </si>
  <si>
    <t>2452116.462 </t>
  </si>
  <si>
    <t> 25.07.2001 23:05 </t>
  </si>
  <si>
    <t> 0.008 </t>
  </si>
  <si>
    <t> BBS 126 </t>
  </si>
  <si>
    <t>2452463.4426 </t>
  </si>
  <si>
    <t> 07.07.2002 22:37 </t>
  </si>
  <si>
    <t> 0.0066 </t>
  </si>
  <si>
    <t> BBS 128 </t>
  </si>
  <si>
    <t>2452746.4316 </t>
  </si>
  <si>
    <t> 16.04.2003 22:21 </t>
  </si>
  <si>
    <t> 0.0040 </t>
  </si>
  <si>
    <t> BBS 129 </t>
  </si>
  <si>
    <t>2453096.4300 </t>
  </si>
  <si>
    <t> 31.03.2004 22:19 </t>
  </si>
  <si>
    <t> 0.0031 </t>
  </si>
  <si>
    <t> BBS 130 </t>
  </si>
  <si>
    <t>2453096.555 </t>
  </si>
  <si>
    <t> 01.04.2004 01:19 </t>
  </si>
  <si>
    <t> 0.002 </t>
  </si>
  <si>
    <t>2453116.4174 </t>
  </si>
  <si>
    <t> 20.04.2004 22:01 </t>
  </si>
  <si>
    <t> 0.0013 </t>
  </si>
  <si>
    <t>C </t>
  </si>
  <si>
    <t>o</t>
  </si>
  <si>
    <t> F.Agerer </t>
  </si>
  <si>
    <t>BAVM 186 </t>
  </si>
  <si>
    <t>2453117.4232 </t>
  </si>
  <si>
    <t> 21.04.2004 22:09 </t>
  </si>
  <si>
    <t> 0.0014 </t>
  </si>
  <si>
    <t>BAVM 173 </t>
  </si>
  <si>
    <t>2453117.5507 </t>
  </si>
  <si>
    <t> 22.04.2004 01:13 </t>
  </si>
  <si>
    <t>2453515.4461 </t>
  </si>
  <si>
    <t> 24.05.2005 22:42 </t>
  </si>
  <si>
    <t> 0.0006 </t>
  </si>
  <si>
    <t>-I</t>
  </si>
  <si>
    <t>BAVM 178 </t>
  </si>
  <si>
    <t>2453518.4611 </t>
  </si>
  <si>
    <t> 27.05.2005 23:03 </t>
  </si>
  <si>
    <t>4050.5</t>
  </si>
  <si>
    <t> -0.0016 </t>
  </si>
  <si>
    <t>2453620.4204 </t>
  </si>
  <si>
    <t> 06.09.2005 22:05 </t>
  </si>
  <si>
    <t>4456</t>
  </si>
  <si>
    <t> 0.0002 </t>
  </si>
  <si>
    <t>IBVS 5713 </t>
  </si>
  <si>
    <t>2453847.4685 </t>
  </si>
  <si>
    <t> 21.04.2006 23:14 </t>
  </si>
  <si>
    <t>5359</t>
  </si>
  <si>
    <t>2453992.423 </t>
  </si>
  <si>
    <t> 13.09.2006 22:09 </t>
  </si>
  <si>
    <t>5935.5</t>
  </si>
  <si>
    <t> 0.003 </t>
  </si>
  <si>
    <t>R</t>
  </si>
  <si>
    <t> BBS 133 (=IBVS 5781) </t>
  </si>
  <si>
    <t>2454202.4958 </t>
  </si>
  <si>
    <t> 11.04.2007 23:53 </t>
  </si>
  <si>
    <t>6771</t>
  </si>
  <si>
    <t>2454202.619 </t>
  </si>
  <si>
    <t> 12.04.2007 02:51 </t>
  </si>
  <si>
    <t>6771.5</t>
  </si>
  <si>
    <t> -0.002 </t>
  </si>
  <si>
    <t>2454245.4916 </t>
  </si>
  <si>
    <t> 24.05.2007 23:47 </t>
  </si>
  <si>
    <t>6942</t>
  </si>
  <si>
    <t> 0.0008 </t>
  </si>
  <si>
    <t>2454937.4422 </t>
  </si>
  <si>
    <t> 15.04.2009 22:36 </t>
  </si>
  <si>
    <t>9694</t>
  </si>
  <si>
    <t> -0.0013 </t>
  </si>
  <si>
    <t>BAVM 209 </t>
  </si>
  <si>
    <t>2454937.5694 </t>
  </si>
  <si>
    <t> 16.04.2009 01:39 </t>
  </si>
  <si>
    <t>9694.5</t>
  </si>
  <si>
    <t>BAVM 225 </t>
  </si>
  <si>
    <t>2455067.4384 </t>
  </si>
  <si>
    <t> 23.08.2009 22:31 </t>
  </si>
  <si>
    <t>10211</t>
  </si>
  <si>
    <t> 0.0023 </t>
  </si>
  <si>
    <t>IBVS 5920 </t>
  </si>
  <si>
    <t>2455358.4718 </t>
  </si>
  <si>
    <t> 10.06.2010 23:19 </t>
  </si>
  <si>
    <t>11368.5</t>
  </si>
  <si>
    <t> -0.0018 </t>
  </si>
  <si>
    <t>BAVM 214 </t>
  </si>
  <si>
    <t>2456071.54664 </t>
  </si>
  <si>
    <t> 24.05.2012 01:07 </t>
  </si>
  <si>
    <t>14204.5</t>
  </si>
  <si>
    <t> -0.00028 </t>
  </si>
  <si>
    <t> M.Lehky </t>
  </si>
  <si>
    <t>OEJV 0160 </t>
  </si>
  <si>
    <t>2456073.43077 </t>
  </si>
  <si>
    <t> 25.05.2012 22:20 </t>
  </si>
  <si>
    <t>14212</t>
  </si>
  <si>
    <t> -0.00193 </t>
  </si>
  <si>
    <t>2456073.5579 </t>
  </si>
  <si>
    <t> 26.05.2012 01:23 </t>
  </si>
  <si>
    <t>14212.5</t>
  </si>
  <si>
    <t> -0.0005 </t>
  </si>
  <si>
    <t>2456076.44733 </t>
  </si>
  <si>
    <t> 28.05.2012 22:44 </t>
  </si>
  <si>
    <t>14224</t>
  </si>
  <si>
    <t> -0.00260 </t>
  </si>
  <si>
    <t>2456132.3965 </t>
  </si>
  <si>
    <t> 23.07.2012 21:30 </t>
  </si>
  <si>
    <t>14446.5</t>
  </si>
  <si>
    <t> 0.0020 </t>
  </si>
  <si>
    <t>BAVM 231 </t>
  </si>
  <si>
    <t>2456132.5191 </t>
  </si>
  <si>
    <t> 24.07.2012 00:27 </t>
  </si>
  <si>
    <t>14447</t>
  </si>
  <si>
    <t> -0.0011 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</si>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</sst>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5" fillId="0" borderId="0"/>
    <xf numFmtId="0" fontId="25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V1062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0751879699248119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59-49A2-81B0-27B37AA468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0">
                  <c:v>7.0249999989755452E-3</c:v>
                </c:pt>
                <c:pt idx="1">
                  <c:v>8.5454500003834255E-3</c:v>
                </c:pt>
                <c:pt idx="2">
                  <c:v>6.7922999951406382E-3</c:v>
                </c:pt>
                <c:pt idx="3">
                  <c:v>8.4486499981721863E-3</c:v>
                </c:pt>
                <c:pt idx="4">
                  <c:v>9.5306999937747605E-3</c:v>
                </c:pt>
                <c:pt idx="5">
                  <c:v>9.7125999964191578E-3</c:v>
                </c:pt>
                <c:pt idx="6">
                  <c:v>6.0509999966598116E-3</c:v>
                </c:pt>
                <c:pt idx="7">
                  <c:v>6.2330500004463829E-3</c:v>
                </c:pt>
                <c:pt idx="8">
                  <c:v>7.3021999996853992E-3</c:v>
                </c:pt>
                <c:pt idx="9">
                  <c:v>6.8842499968013726E-3</c:v>
                </c:pt>
                <c:pt idx="10">
                  <c:v>4.4654500015894882E-3</c:v>
                </c:pt>
                <c:pt idx="11">
                  <c:v>3.5234500028309412E-3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59-49A2-81B0-27B37AA468A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6">
                  <c:v>-7.0885000604903325E-4</c:v>
                </c:pt>
                <c:pt idx="17">
                  <c:v>-6.5245000587310642E-4</c:v>
                </c:pt>
                <c:pt idx="18">
                  <c:v>1.1296000011498109E-3</c:v>
                </c:pt>
                <c:pt idx="19">
                  <c:v>-7.8214999666670337E-4</c:v>
                </c:pt>
                <c:pt idx="20">
                  <c:v>-3.0129500009934418E-3</c:v>
                </c:pt>
                <c:pt idx="21">
                  <c:v>-9.7039999673143029E-4</c:v>
                </c:pt>
                <c:pt idx="22">
                  <c:v>5.1189999794587493E-4</c:v>
                </c:pt>
                <c:pt idx="26">
                  <c:v>5.8220000209985301E-4</c:v>
                </c:pt>
                <c:pt idx="27">
                  <c:v>-4.1460000647930428E-4</c:v>
                </c:pt>
                <c:pt idx="30">
                  <c:v>-2.2914999863132834E-4</c:v>
                </c:pt>
                <c:pt idx="35">
                  <c:v>4.7706500045023859E-3</c:v>
                </c:pt>
                <c:pt idx="36">
                  <c:v>1.6526999970665202E-3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359-49A2-81B0-27B37AA468A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13">
                  <c:v>1.4179999998304993E-3</c:v>
                </c:pt>
                <c:pt idx="14">
                  <c:v>1.0451999987708405E-3</c:v>
                </c:pt>
                <c:pt idx="15">
                  <c:v>3.2724999618949369E-4</c:v>
                </c:pt>
                <c:pt idx="23">
                  <c:v>2.2155500046210364E-3</c:v>
                </c:pt>
                <c:pt idx="24">
                  <c:v>3.2109999301610515E-4</c:v>
                </c:pt>
                <c:pt idx="25">
                  <c:v>-2.196850000473205E-3</c:v>
                </c:pt>
                <c:pt idx="28">
                  <c:v>1.0674500008462928E-3</c:v>
                </c:pt>
                <c:pt idx="29">
                  <c:v>3.4250999960931949E-3</c:v>
                </c:pt>
                <c:pt idx="31">
                  <c:v>2.3984500003280118E-3</c:v>
                </c:pt>
                <c:pt idx="32">
                  <c:v>7.5919999653706327E-4</c:v>
                </c:pt>
                <c:pt idx="33">
                  <c:v>2.1712500019930303E-3</c:v>
                </c:pt>
                <c:pt idx="34">
                  <c:v>8.8400003733113408E-5</c:v>
                </c:pt>
                <c:pt idx="37">
                  <c:v>4.3155000021215528E-3</c:v>
                </c:pt>
                <c:pt idx="38">
                  <c:v>2.2975499960011803E-3</c:v>
                </c:pt>
                <c:pt idx="39">
                  <c:v>7.7075000008335337E-3</c:v>
                </c:pt>
                <c:pt idx="40">
                  <c:v>3.5053500032518059E-3</c:v>
                </c:pt>
                <c:pt idx="41">
                  <c:v>2.5078499966184609E-3</c:v>
                </c:pt>
                <c:pt idx="42">
                  <c:v>4.3293999988236465E-3</c:v>
                </c:pt>
                <c:pt idx="43">
                  <c:v>-1.9807499993476085E-3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359-49A2-81B0-27B37AA468A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359-49A2-81B0-27B37AA468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359-49A2-81B0-27B37AA468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3">
                    <c:v>1.4E-3</c:v>
                  </c:pt>
                  <c:pt idx="14">
                    <c:v>1.6000000000000001E-3</c:v>
                  </c:pt>
                  <c:pt idx="15">
                    <c:v>6.0000000000000001E-3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2.0000000000000001E-4</c:v>
                  </c:pt>
                  <c:pt idx="19">
                    <c:v>5.9999999999999995E-4</c:v>
                  </c:pt>
                  <c:pt idx="20">
                    <c:v>1.9E-3</c:v>
                  </c:pt>
                  <c:pt idx="21">
                    <c:v>1.6999999999999999E-3</c:v>
                  </c:pt>
                  <c:pt idx="22">
                    <c:v>2E-3</c:v>
                  </c:pt>
                  <c:pt idx="23">
                    <c:v>3.0000000000000001E-3</c:v>
                  </c:pt>
                  <c:pt idx="24">
                    <c:v>8.9999999999999998E-4</c:v>
                  </c:pt>
                  <c:pt idx="25">
                    <c:v>3.0000000000000001E-3</c:v>
                  </c:pt>
                  <c:pt idx="26">
                    <c:v>8.9999999999999998E-4</c:v>
                  </c:pt>
                  <c:pt idx="27">
                    <c:v>8.0000000000000004E-4</c:v>
                  </c:pt>
                  <c:pt idx="28">
                    <c:v>0</c:v>
                  </c:pt>
                  <c:pt idx="29">
                    <c:v>1.5E-3</c:v>
                  </c:pt>
                  <c:pt idx="30">
                    <c:v>1.4E-3</c:v>
                  </c:pt>
                  <c:pt idx="31">
                    <c:v>4.0000000000000002E-4</c:v>
                  </c:pt>
                  <c:pt idx="32">
                    <c:v>5.9999999999999995E-4</c:v>
                  </c:pt>
                  <c:pt idx="33">
                    <c:v>5.0000000000000001E-4</c:v>
                  </c:pt>
                  <c:pt idx="34">
                    <c:v>2.0000000000000001E-4</c:v>
                  </c:pt>
                  <c:pt idx="35">
                    <c:v>1E-3</c:v>
                  </c:pt>
                  <c:pt idx="36">
                    <c:v>2.9999999999999997E-4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4.0000000000000002E-4</c:v>
                  </c:pt>
                  <c:pt idx="40">
                    <c:v>8.0000000000000004E-4</c:v>
                  </c:pt>
                  <c:pt idx="41">
                    <c:v>2.9999999999999997E-4</c:v>
                  </c:pt>
                  <c:pt idx="42">
                    <c:v>6.9999999999999999E-4</c:v>
                  </c:pt>
                  <c:pt idx="4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359-49A2-81B0-27B37AA468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-4750</c:v>
                </c:pt>
                <c:pt idx="1">
                  <c:v>-4725.5</c:v>
                </c:pt>
                <c:pt idx="2">
                  <c:v>-2997</c:v>
                </c:pt>
                <c:pt idx="3">
                  <c:v>-2973.5</c:v>
                </c:pt>
                <c:pt idx="4">
                  <c:v>-2973</c:v>
                </c:pt>
                <c:pt idx="5">
                  <c:v>-2914</c:v>
                </c:pt>
                <c:pt idx="6">
                  <c:v>-2890</c:v>
                </c:pt>
                <c:pt idx="7">
                  <c:v>-2889.5</c:v>
                </c:pt>
                <c:pt idx="8">
                  <c:v>-2858</c:v>
                </c:pt>
                <c:pt idx="9">
                  <c:v>-2857.5</c:v>
                </c:pt>
                <c:pt idx="10">
                  <c:v>-1525.5</c:v>
                </c:pt>
                <c:pt idx="11">
                  <c:v>-145.5</c:v>
                </c:pt>
                <c:pt idx="12">
                  <c:v>0</c:v>
                </c:pt>
                <c:pt idx="13">
                  <c:v>980</c:v>
                </c:pt>
                <c:pt idx="14">
                  <c:v>2372</c:v>
                </c:pt>
                <c:pt idx="15">
                  <c:v>2372.5</c:v>
                </c:pt>
                <c:pt idx="16">
                  <c:v>2451.5</c:v>
                </c:pt>
                <c:pt idx="17">
                  <c:v>2455.5</c:v>
                </c:pt>
                <c:pt idx="18">
                  <c:v>2456</c:v>
                </c:pt>
                <c:pt idx="19">
                  <c:v>4038.5</c:v>
                </c:pt>
                <c:pt idx="20">
                  <c:v>4050.5</c:v>
                </c:pt>
                <c:pt idx="21">
                  <c:v>4456</c:v>
                </c:pt>
                <c:pt idx="22">
                  <c:v>5359</c:v>
                </c:pt>
                <c:pt idx="23">
                  <c:v>5935.5</c:v>
                </c:pt>
                <c:pt idx="24">
                  <c:v>6771</c:v>
                </c:pt>
                <c:pt idx="25">
                  <c:v>6771.5</c:v>
                </c:pt>
                <c:pt idx="26">
                  <c:v>6942</c:v>
                </c:pt>
                <c:pt idx="27">
                  <c:v>9694</c:v>
                </c:pt>
                <c:pt idx="28">
                  <c:v>9694.5</c:v>
                </c:pt>
                <c:pt idx="29">
                  <c:v>10211</c:v>
                </c:pt>
                <c:pt idx="30">
                  <c:v>11368.5</c:v>
                </c:pt>
                <c:pt idx="31">
                  <c:v>14204.5</c:v>
                </c:pt>
                <c:pt idx="32">
                  <c:v>14212</c:v>
                </c:pt>
                <c:pt idx="33">
                  <c:v>14212.5</c:v>
                </c:pt>
                <c:pt idx="34">
                  <c:v>14224</c:v>
                </c:pt>
                <c:pt idx="35">
                  <c:v>14446.5</c:v>
                </c:pt>
                <c:pt idx="36">
                  <c:v>14447</c:v>
                </c:pt>
                <c:pt idx="37">
                  <c:v>15755</c:v>
                </c:pt>
                <c:pt idx="38">
                  <c:v>15755.5</c:v>
                </c:pt>
                <c:pt idx="39">
                  <c:v>17175</c:v>
                </c:pt>
                <c:pt idx="40">
                  <c:v>17413.5</c:v>
                </c:pt>
                <c:pt idx="41">
                  <c:v>18638.5</c:v>
                </c:pt>
                <c:pt idx="42">
                  <c:v>20134</c:v>
                </c:pt>
                <c:pt idx="43">
                  <c:v>20392.5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-1.9237424881848059E-3</c:v>
                </c:pt>
                <c:pt idx="1">
                  <c:v>-1.9185792657073579E-3</c:v>
                </c:pt>
                <c:pt idx="2">
                  <c:v>-1.5543086513290475E-3</c:v>
                </c:pt>
                <c:pt idx="3">
                  <c:v>-1.5493561726261894E-3</c:v>
                </c:pt>
                <c:pt idx="4">
                  <c:v>-1.5492508007388943E-3</c:v>
                </c:pt>
                <c:pt idx="5">
                  <c:v>-1.5368169180381016E-3</c:v>
                </c:pt>
                <c:pt idx="6">
                  <c:v>-1.5317590674479486E-3</c:v>
                </c:pt>
                <c:pt idx="7">
                  <c:v>-1.5316536955606538E-3</c:v>
                </c:pt>
                <c:pt idx="8">
                  <c:v>-1.525015266661078E-3</c:v>
                </c:pt>
                <c:pt idx="9">
                  <c:v>-1.5249098947737831E-3</c:v>
                </c:pt>
                <c:pt idx="10">
                  <c:v>-1.2441991870202917E-3</c:v>
                </c:pt>
                <c:pt idx="11">
                  <c:v>-9.5337277808649451E-4</c:v>
                </c:pt>
                <c:pt idx="12">
                  <c:v>-9.22709558883692E-4</c:v>
                </c:pt>
                <c:pt idx="13">
                  <c:v>-7.1618065978577795E-4</c:v>
                </c:pt>
                <c:pt idx="14">
                  <c:v>-4.2282532555690418E-4</c:v>
                </c:pt>
                <c:pt idx="15">
                  <c:v>-4.2271995366960932E-4</c:v>
                </c:pt>
                <c:pt idx="16">
                  <c:v>-4.0607119547702241E-4</c:v>
                </c:pt>
                <c:pt idx="17">
                  <c:v>-4.0522822037866355E-4</c:v>
                </c:pt>
                <c:pt idx="18">
                  <c:v>-4.0512284849136869E-4</c:v>
                </c:pt>
                <c:pt idx="19">
                  <c:v>-7.1620825203155586E-5</c:v>
                </c:pt>
                <c:pt idx="20">
                  <c:v>-6.909189990807901E-5</c:v>
                </c:pt>
                <c:pt idx="21">
                  <c:v>1.6364700688047671E-5</c:v>
                </c:pt>
                <c:pt idx="22">
                  <c:v>2.0666632914255402E-4</c:v>
                </c:pt>
                <c:pt idx="23">
                  <c:v>3.2816011519352082E-4</c:v>
                </c:pt>
                <c:pt idx="24">
                  <c:v>5.0423653886322198E-4</c:v>
                </c:pt>
                <c:pt idx="25">
                  <c:v>5.0434191075051683E-4</c:v>
                </c:pt>
                <c:pt idx="26">
                  <c:v>5.4027372431806209E-4</c:v>
                </c:pt>
                <c:pt idx="27">
                  <c:v>1.1202405919889392E-3</c:v>
                </c:pt>
                <c:pt idx="28">
                  <c:v>1.1203459638762338E-3</c:v>
                </c:pt>
                <c:pt idx="29">
                  <c:v>1.2291951234518182E-3</c:v>
                </c:pt>
                <c:pt idx="30">
                  <c:v>1.4731310425394053E-3</c:v>
                </c:pt>
                <c:pt idx="31">
                  <c:v>2.0708003872758176E-3</c:v>
                </c:pt>
                <c:pt idx="32">
                  <c:v>2.0723809655852406E-3</c:v>
                </c:pt>
                <c:pt idx="33">
                  <c:v>2.0724863374725353E-3</c:v>
                </c:pt>
                <c:pt idx="34">
                  <c:v>2.0749098908803172E-3</c:v>
                </c:pt>
                <c:pt idx="35">
                  <c:v>2.1218003807265268E-3</c:v>
                </c:pt>
                <c:pt idx="36">
                  <c:v>2.1219057526138223E-3</c:v>
                </c:pt>
                <c:pt idx="37">
                  <c:v>2.3975586097771603E-3</c:v>
                </c:pt>
                <c:pt idx="38">
                  <c:v>2.397663981664455E-3</c:v>
                </c:pt>
                <c:pt idx="39">
                  <c:v>2.6968147696945456E-3</c:v>
                </c:pt>
                <c:pt idx="40">
                  <c:v>2.7470771599341914E-3</c:v>
                </c:pt>
                <c:pt idx="41">
                  <c:v>3.0052382838065836E-3</c:v>
                </c:pt>
                <c:pt idx="42">
                  <c:v>3.3204055987054925E-3</c:v>
                </c:pt>
                <c:pt idx="43">
                  <c:v>3.3748828644369318E-3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359-49A2-81B0-27B37AA4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49440"/>
        <c:axId val="1"/>
      </c:scatterChart>
      <c:valAx>
        <c:axId val="70154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49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500CD94-BE40-985A-E929-2856A9728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13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bav-astro.de/sfs/BAVM_link.php?BAVMnr=186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bav-astro.de/sfs/BAVM_link.php?BAVMnr=22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4965" TargetMode="External"/><Relationship Id="rId16" Type="http://schemas.openxmlformats.org/officeDocument/2006/relationships/hyperlink" Target="http://var.astro.cz/oejv/issues/oejv0160.pdf" TargetMode="External"/><Relationship Id="rId20" Type="http://schemas.openxmlformats.org/officeDocument/2006/relationships/hyperlink" Target="http://www.bav-astro.de/sfs/BAVM_link.php?BAVMnr=231" TargetMode="External"/><Relationship Id="rId1" Type="http://schemas.openxmlformats.org/officeDocument/2006/relationships/hyperlink" Target="http://www.konkoly.hu/cgi-bin/IBVS?4965" TargetMode="External"/><Relationship Id="rId6" Type="http://schemas.openxmlformats.org/officeDocument/2006/relationships/hyperlink" Target="http://www.bav-astro.de/sfs/BAVM_link.php?BAVMnr=178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bav-astro.de/sfs/BAVM_link.php?BAVMnr=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1" topLeftCell="O46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8" ht="20.25">
      <c r="A1" s="1" t="s">
        <v>36</v>
      </c>
      <c r="F1" s="3">
        <v>52500.023000000001</v>
      </c>
      <c r="G1" s="3">
        <v>0.25143589999999999</v>
      </c>
      <c r="H1" s="3" t="s">
        <v>37</v>
      </c>
    </row>
    <row r="2" spans="1:8">
      <c r="A2" t="s">
        <v>22</v>
      </c>
      <c r="B2" t="str">
        <f>H1</f>
        <v xml:space="preserve">EW        </v>
      </c>
      <c r="C2" s="3"/>
      <c r="D2" s="3"/>
    </row>
    <row r="3" spans="1:8" ht="13.5" thickBot="1"/>
    <row r="4" spans="1:8" ht="14.25" thickTop="1" thickBot="1">
      <c r="A4" s="5" t="s">
        <v>35</v>
      </c>
      <c r="C4" s="8">
        <f>F1</f>
        <v>52500.023000000001</v>
      </c>
      <c r="D4" s="9">
        <f>G1</f>
        <v>0.25143589999999999</v>
      </c>
    </row>
    <row r="5" spans="1:8" ht="13.5" thickTop="1">
      <c r="A5" s="11" t="s">
        <v>27</v>
      </c>
      <c r="B5" s="12"/>
      <c r="C5" s="13">
        <v>-9.5</v>
      </c>
      <c r="D5" s="12" t="s">
        <v>28</v>
      </c>
    </row>
    <row r="6" spans="1:8">
      <c r="A6" s="5" t="s">
        <v>0</v>
      </c>
    </row>
    <row r="7" spans="1:8">
      <c r="A7" t="s">
        <v>1</v>
      </c>
      <c r="C7">
        <f>C4</f>
        <v>52500.023000000001</v>
      </c>
    </row>
    <row r="8" spans="1:8">
      <c r="A8" t="s">
        <v>2</v>
      </c>
      <c r="C8">
        <f>D4</f>
        <v>0.25143589999999999</v>
      </c>
      <c r="D8" s="29"/>
    </row>
    <row r="9" spans="1:8">
      <c r="A9" s="26" t="s">
        <v>32</v>
      </c>
      <c r="B9" s="27">
        <v>44</v>
      </c>
      <c r="C9" s="24" t="str">
        <f>"F"&amp;B9</f>
        <v>F44</v>
      </c>
      <c r="D9" s="25" t="str">
        <f>"G"&amp;B9</f>
        <v>G44</v>
      </c>
    </row>
    <row r="10" spans="1:8" ht="13.5" thickBot="1">
      <c r="A10" s="12"/>
      <c r="B10" s="12"/>
      <c r="C10" s="4" t="s">
        <v>18</v>
      </c>
      <c r="D10" s="4" t="s">
        <v>19</v>
      </c>
      <c r="E10" s="12"/>
    </row>
    <row r="11" spans="1:8">
      <c r="A11" s="12" t="s">
        <v>14</v>
      </c>
      <c r="B11" s="12"/>
      <c r="C11" s="23">
        <f ca="1">INTERCEPT(INDIRECT($D$9):G992,INDIRECT($C$9):F992)</f>
        <v>-9.22709558883692E-4</v>
      </c>
      <c r="D11" s="3"/>
      <c r="E11" s="12"/>
    </row>
    <row r="12" spans="1:8">
      <c r="A12" s="12" t="s">
        <v>15</v>
      </c>
      <c r="B12" s="12"/>
      <c r="C12" s="23">
        <f ca="1">SLOPE(INDIRECT($D$9):G992,INDIRECT($C$9):F992)</f>
        <v>2.1074377458970817E-7</v>
      </c>
      <c r="D12" s="3"/>
      <c r="E12" s="12"/>
    </row>
    <row r="13" spans="1:8">
      <c r="A13" s="12" t="s">
        <v>17</v>
      </c>
      <c r="B13" s="12"/>
      <c r="C13" s="3" t="s">
        <v>12</v>
      </c>
    </row>
    <row r="14" spans="1:8">
      <c r="A14" s="12"/>
      <c r="B14" s="12"/>
      <c r="C14" s="12"/>
    </row>
    <row r="15" spans="1:8">
      <c r="A15" s="14" t="s">
        <v>16</v>
      </c>
      <c r="B15" s="12"/>
      <c r="C15" s="15">
        <f ca="1">(C7+C11)+(C8+C12)*INT(MAX(F21:F3533))</f>
        <v>57627.307247577497</v>
      </c>
      <c r="E15" s="16" t="s">
        <v>47</v>
      </c>
      <c r="F15" s="13">
        <v>1</v>
      </c>
    </row>
    <row r="16" spans="1:8">
      <c r="A16" s="18" t="s">
        <v>3</v>
      </c>
      <c r="B16" s="12"/>
      <c r="C16" s="19">
        <f ca="1">+C8+C12</f>
        <v>0.25143611074377459</v>
      </c>
      <c r="E16" s="16" t="s">
        <v>29</v>
      </c>
      <c r="F16" s="17">
        <f ca="1">NOW()+15018.5+$C$5/24</f>
        <v>60354.762803587961</v>
      </c>
    </row>
    <row r="17" spans="1:17" ht="13.5" thickBot="1">
      <c r="A17" s="16" t="s">
        <v>26</v>
      </c>
      <c r="B17" s="12"/>
      <c r="C17" s="12">
        <f>COUNT(C21:C2191)</f>
        <v>44</v>
      </c>
      <c r="E17" s="16" t="s">
        <v>48</v>
      </c>
      <c r="F17" s="17">
        <f ca="1">ROUND(2*(F16-$C$7)/$C$8,0)/2+F15</f>
        <v>31240.5</v>
      </c>
    </row>
    <row r="18" spans="1:17" ht="14.25" thickTop="1" thickBot="1">
      <c r="A18" s="18" t="s">
        <v>4</v>
      </c>
      <c r="B18" s="12"/>
      <c r="C18" s="21">
        <f ca="1">+C15</f>
        <v>57627.307247577497</v>
      </c>
      <c r="D18" s="22">
        <f ca="1">+C16</f>
        <v>0.25143611074377459</v>
      </c>
      <c r="E18" s="16" t="s">
        <v>30</v>
      </c>
      <c r="F18" s="25">
        <f ca="1">ROUND(2*(F16-$C$15)/$C$16,0)/2+F15</f>
        <v>10848.5</v>
      </c>
    </row>
    <row r="19" spans="1:17" ht="13.5" thickTop="1">
      <c r="E19" s="16" t="s">
        <v>31</v>
      </c>
      <c r="F19" s="20">
        <f ca="1">+$C$15+$C$16*F18-15018.5-$C$5/24</f>
        <v>45336.907728314669</v>
      </c>
    </row>
    <row r="20" spans="1:17" ht="13.5" thickBot="1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61</v>
      </c>
      <c r="I20" s="7" t="s">
        <v>64</v>
      </c>
      <c r="J20" s="7" t="s">
        <v>58</v>
      </c>
      <c r="K20" s="7" t="s">
        <v>56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</row>
    <row r="21" spans="1:17">
      <c r="A21" s="50" t="s">
        <v>71</v>
      </c>
      <c r="B21" s="52" t="s">
        <v>33</v>
      </c>
      <c r="C21" s="51">
        <v>51305.709499999997</v>
      </c>
      <c r="D21" s="51" t="s">
        <v>64</v>
      </c>
      <c r="E21" s="32">
        <f t="shared" ref="E21:E61" si="0">+(C21-C$7)/C$8</f>
        <v>-4749.9720604734803</v>
      </c>
      <c r="F21">
        <f t="shared" ref="F21:F64" si="1">ROUND(2*E21,0)/2</f>
        <v>-4750</v>
      </c>
      <c r="G21">
        <f t="shared" ref="G21:G61" si="2">+C21-(C$7+F21*C$8)</f>
        <v>7.0249999989755452E-3</v>
      </c>
      <c r="I21">
        <f>+G21</f>
        <v>7.0249999989755452E-3</v>
      </c>
      <c r="O21">
        <f t="shared" ref="O21:O61" ca="1" si="3">+C$11+C$12*$F21</f>
        <v>-1.9237424881848059E-3</v>
      </c>
      <c r="Q21" s="2">
        <f t="shared" ref="Q21:Q61" si="4">+C21-15018.5</f>
        <v>36287.209499999997</v>
      </c>
    </row>
    <row r="22" spans="1:17">
      <c r="A22" s="50" t="s">
        <v>71</v>
      </c>
      <c r="B22" s="52" t="s">
        <v>40</v>
      </c>
      <c r="C22" s="51">
        <v>51311.871200000001</v>
      </c>
      <c r="D22" s="51" t="s">
        <v>64</v>
      </c>
      <c r="E22" s="32">
        <f t="shared" si="0"/>
        <v>-4725.4660134054038</v>
      </c>
      <c r="F22">
        <f t="shared" si="1"/>
        <v>-4725.5</v>
      </c>
      <c r="G22">
        <f t="shared" si="2"/>
        <v>8.5454500003834255E-3</v>
      </c>
      <c r="I22">
        <f>+G22</f>
        <v>8.5454500003834255E-3</v>
      </c>
      <c r="O22">
        <f t="shared" ca="1" si="3"/>
        <v>-1.9185792657073579E-3</v>
      </c>
      <c r="Q22" s="2">
        <f t="shared" si="4"/>
        <v>36293.371200000001</v>
      </c>
    </row>
    <row r="23" spans="1:17">
      <c r="A23" s="50" t="s">
        <v>79</v>
      </c>
      <c r="B23" s="52" t="s">
        <v>33</v>
      </c>
      <c r="C23" s="51">
        <v>51746.4764</v>
      </c>
      <c r="D23" s="51" t="s">
        <v>64</v>
      </c>
      <c r="E23" s="32">
        <f t="shared" si="0"/>
        <v>-2996.9729859578583</v>
      </c>
      <c r="F23">
        <f t="shared" si="1"/>
        <v>-2997</v>
      </c>
      <c r="G23">
        <f t="shared" si="2"/>
        <v>6.7922999951406382E-3</v>
      </c>
      <c r="I23">
        <f>+G23</f>
        <v>6.7922999951406382E-3</v>
      </c>
      <c r="O23">
        <f t="shared" ca="1" si="3"/>
        <v>-1.5543086513290475E-3</v>
      </c>
      <c r="Q23" s="2">
        <f t="shared" si="4"/>
        <v>36727.9764</v>
      </c>
    </row>
    <row r="24" spans="1:17">
      <c r="A24" s="50" t="s">
        <v>79</v>
      </c>
      <c r="B24" s="52" t="s">
        <v>40</v>
      </c>
      <c r="C24" s="51">
        <v>51752.3868</v>
      </c>
      <c r="D24" s="51" t="s">
        <v>64</v>
      </c>
      <c r="E24" s="32">
        <f t="shared" si="0"/>
        <v>-2973.4663983941864</v>
      </c>
      <c r="F24">
        <f t="shared" si="1"/>
        <v>-2973.5</v>
      </c>
      <c r="G24">
        <f t="shared" si="2"/>
        <v>8.4486499981721863E-3</v>
      </c>
      <c r="I24">
        <f>+G24</f>
        <v>8.4486499981721863E-3</v>
      </c>
      <c r="O24">
        <f t="shared" ca="1" si="3"/>
        <v>-1.5493561726261894E-3</v>
      </c>
      <c r="Q24" s="2">
        <f t="shared" si="4"/>
        <v>36733.8868</v>
      </c>
    </row>
    <row r="25" spans="1:17">
      <c r="A25" s="50" t="s">
        <v>79</v>
      </c>
      <c r="B25" s="52" t="s">
        <v>33</v>
      </c>
      <c r="C25" s="51">
        <v>51752.513599999998</v>
      </c>
      <c r="D25" s="51" t="s">
        <v>64</v>
      </c>
      <c r="E25" s="32">
        <f t="shared" si="0"/>
        <v>-2972.9620949116761</v>
      </c>
      <c r="F25">
        <f t="shared" si="1"/>
        <v>-2973</v>
      </c>
      <c r="G25">
        <f t="shared" si="2"/>
        <v>9.5306999937747605E-3</v>
      </c>
      <c r="I25">
        <f>+G25</f>
        <v>9.5306999937747605E-3</v>
      </c>
      <c r="O25">
        <f t="shared" ca="1" si="3"/>
        <v>-1.5492508007388943E-3</v>
      </c>
      <c r="Q25" s="2">
        <f t="shared" si="4"/>
        <v>36734.013599999998</v>
      </c>
    </row>
    <row r="26" spans="1:17">
      <c r="A26" s="50" t="s">
        <v>79</v>
      </c>
      <c r="B26" s="52" t="s">
        <v>33</v>
      </c>
      <c r="C26" s="51">
        <v>51767.3485</v>
      </c>
      <c r="D26" s="51" t="s">
        <v>64</v>
      </c>
      <c r="E26" s="32">
        <f t="shared" si="0"/>
        <v>-2913.9613714668471</v>
      </c>
      <c r="F26">
        <f t="shared" si="1"/>
        <v>-2914</v>
      </c>
      <c r="G26">
        <f t="shared" si="2"/>
        <v>9.7125999964191578E-3</v>
      </c>
      <c r="I26">
        <f>+G26</f>
        <v>9.7125999964191578E-3</v>
      </c>
      <c r="O26">
        <f t="shared" ca="1" si="3"/>
        <v>-1.5368169180381016E-3</v>
      </c>
      <c r="Q26" s="2">
        <f t="shared" si="4"/>
        <v>36748.8485</v>
      </c>
    </row>
    <row r="27" spans="1:17">
      <c r="A27" s="50" t="s">
        <v>79</v>
      </c>
      <c r="B27" s="52" t="s">
        <v>33</v>
      </c>
      <c r="C27" s="51">
        <v>51773.379300000001</v>
      </c>
      <c r="D27" s="51" t="s">
        <v>64</v>
      </c>
      <c r="E27" s="32">
        <f t="shared" si="0"/>
        <v>-2889.9759342241923</v>
      </c>
      <c r="F27">
        <f t="shared" si="1"/>
        <v>-2890</v>
      </c>
      <c r="G27">
        <f t="shared" si="2"/>
        <v>6.0509999966598116E-3</v>
      </c>
      <c r="I27">
        <f>+G27</f>
        <v>6.0509999966598116E-3</v>
      </c>
      <c r="O27">
        <f t="shared" ca="1" si="3"/>
        <v>-1.5317590674479486E-3</v>
      </c>
      <c r="Q27" s="2">
        <f t="shared" si="4"/>
        <v>36754.879300000001</v>
      </c>
    </row>
    <row r="28" spans="1:17">
      <c r="A28" s="50" t="s">
        <v>79</v>
      </c>
      <c r="B28" s="52" t="s">
        <v>40</v>
      </c>
      <c r="C28" s="51">
        <v>51773.5052</v>
      </c>
      <c r="D28" s="51" t="s">
        <v>64</v>
      </c>
      <c r="E28" s="32">
        <f t="shared" si="0"/>
        <v>-2889.4752101827999</v>
      </c>
      <c r="F28">
        <f t="shared" si="1"/>
        <v>-2889.5</v>
      </c>
      <c r="G28">
        <f t="shared" si="2"/>
        <v>6.2330500004463829E-3</v>
      </c>
      <c r="I28">
        <f>+G28</f>
        <v>6.2330500004463829E-3</v>
      </c>
      <c r="O28">
        <f t="shared" ca="1" si="3"/>
        <v>-1.5316536955606538E-3</v>
      </c>
      <c r="Q28" s="2">
        <f t="shared" si="4"/>
        <v>36755.0052</v>
      </c>
    </row>
    <row r="29" spans="1:17">
      <c r="A29" s="50" t="s">
        <v>79</v>
      </c>
      <c r="B29" s="52" t="s">
        <v>33</v>
      </c>
      <c r="C29" s="51">
        <v>51781.426500000001</v>
      </c>
      <c r="D29" s="51" t="s">
        <v>64</v>
      </c>
      <c r="E29" s="32">
        <f t="shared" si="0"/>
        <v>-2857.9709580055978</v>
      </c>
      <c r="F29">
        <f t="shared" si="1"/>
        <v>-2858</v>
      </c>
      <c r="G29">
        <f t="shared" si="2"/>
        <v>7.3021999996853992E-3</v>
      </c>
      <c r="I29">
        <f>+G29</f>
        <v>7.3021999996853992E-3</v>
      </c>
      <c r="O29">
        <f t="shared" ca="1" si="3"/>
        <v>-1.525015266661078E-3</v>
      </c>
      <c r="Q29" s="2">
        <f t="shared" si="4"/>
        <v>36762.926500000001</v>
      </c>
    </row>
    <row r="30" spans="1:17">
      <c r="A30" s="50" t="s">
        <v>79</v>
      </c>
      <c r="B30" s="52" t="s">
        <v>40</v>
      </c>
      <c r="C30" s="51">
        <v>51781.551800000001</v>
      </c>
      <c r="D30" s="51" t="s">
        <v>64</v>
      </c>
      <c r="E30" s="32">
        <f t="shared" si="0"/>
        <v>-2857.4726202582842</v>
      </c>
      <c r="F30">
        <f t="shared" si="1"/>
        <v>-2857.5</v>
      </c>
      <c r="G30">
        <f t="shared" si="2"/>
        <v>6.8842499968013726E-3</v>
      </c>
      <c r="I30">
        <f>+G30</f>
        <v>6.8842499968013726E-3</v>
      </c>
      <c r="O30">
        <f t="shared" ca="1" si="3"/>
        <v>-1.5249098947737831E-3</v>
      </c>
      <c r="Q30" s="2">
        <f t="shared" si="4"/>
        <v>36763.051800000001</v>
      </c>
    </row>
    <row r="31" spans="1:17">
      <c r="A31" s="50" t="s">
        <v>103</v>
      </c>
      <c r="B31" s="52" t="s">
        <v>40</v>
      </c>
      <c r="C31" s="51">
        <v>52116.462</v>
      </c>
      <c r="D31" s="51" t="s">
        <v>64</v>
      </c>
      <c r="E31" s="32">
        <f t="shared" si="0"/>
        <v>-1525.4822402051636</v>
      </c>
      <c r="F31">
        <f t="shared" si="1"/>
        <v>-1525.5</v>
      </c>
      <c r="G31">
        <f t="shared" si="2"/>
        <v>4.4654500015894882E-3</v>
      </c>
      <c r="I31">
        <f>+G31</f>
        <v>4.4654500015894882E-3</v>
      </c>
      <c r="O31">
        <f t="shared" ca="1" si="3"/>
        <v>-1.2441991870202917E-3</v>
      </c>
      <c r="Q31" s="2">
        <f t="shared" si="4"/>
        <v>37097.962</v>
      </c>
    </row>
    <row r="32" spans="1:17">
      <c r="A32" s="50" t="s">
        <v>107</v>
      </c>
      <c r="B32" s="52" t="s">
        <v>40</v>
      </c>
      <c r="C32" s="51">
        <v>52463.442600000002</v>
      </c>
      <c r="D32" s="51" t="s">
        <v>64</v>
      </c>
      <c r="E32" s="32">
        <f t="shared" si="0"/>
        <v>-145.48598668686103</v>
      </c>
      <c r="F32">
        <f t="shared" si="1"/>
        <v>-145.5</v>
      </c>
      <c r="G32">
        <f t="shared" si="2"/>
        <v>3.5234500028309412E-3</v>
      </c>
      <c r="I32">
        <f>+G32</f>
        <v>3.5234500028309412E-3</v>
      </c>
      <c r="O32">
        <f t="shared" ca="1" si="3"/>
        <v>-9.5337277808649451E-4</v>
      </c>
      <c r="Q32" s="2">
        <f t="shared" si="4"/>
        <v>37444.942600000002</v>
      </c>
    </row>
    <row r="33" spans="1:17">
      <c r="A33" s="31" t="s">
        <v>34</v>
      </c>
      <c r="B33" s="30" t="s">
        <v>33</v>
      </c>
      <c r="C33" s="31">
        <v>52500.023000000001</v>
      </c>
      <c r="D33" s="28"/>
      <c r="E33">
        <f t="shared" si="0"/>
        <v>0</v>
      </c>
      <c r="F33">
        <f t="shared" si="1"/>
        <v>0</v>
      </c>
      <c r="G33">
        <f t="shared" si="2"/>
        <v>0</v>
      </c>
      <c r="I33">
        <f>+G33</f>
        <v>0</v>
      </c>
      <c r="O33">
        <f t="shared" ca="1" si="3"/>
        <v>-9.22709558883692E-4</v>
      </c>
      <c r="Q33" s="2">
        <f t="shared" si="4"/>
        <v>37481.523000000001</v>
      </c>
    </row>
    <row r="34" spans="1:17">
      <c r="A34" s="31" t="s">
        <v>38</v>
      </c>
      <c r="B34" s="30" t="s">
        <v>33</v>
      </c>
      <c r="C34" s="31">
        <v>52746.431600000004</v>
      </c>
      <c r="D34" s="31">
        <v>1.4E-3</v>
      </c>
      <c r="E34" s="32">
        <f t="shared" si="0"/>
        <v>980.00563960835541</v>
      </c>
      <c r="F34">
        <f t="shared" si="1"/>
        <v>980</v>
      </c>
      <c r="G34">
        <f t="shared" si="2"/>
        <v>1.4179999998304993E-3</v>
      </c>
      <c r="K34">
        <f t="shared" ref="K23:K64" si="5">+G34</f>
        <v>1.4179999998304993E-3</v>
      </c>
      <c r="O34">
        <f t="shared" ca="1" si="3"/>
        <v>-7.1618065978577795E-4</v>
      </c>
      <c r="Q34" s="2">
        <f t="shared" si="4"/>
        <v>37727.931600000004</v>
      </c>
    </row>
    <row r="35" spans="1:17">
      <c r="A35" s="35" t="s">
        <v>39</v>
      </c>
      <c r="B35" s="33" t="s">
        <v>33</v>
      </c>
      <c r="C35" s="35">
        <v>53096.43</v>
      </c>
      <c r="D35" s="36">
        <v>1.6000000000000001E-3</v>
      </c>
      <c r="E35" s="32">
        <f t="shared" si="0"/>
        <v>2372.0041569242867</v>
      </c>
      <c r="F35">
        <f t="shared" si="1"/>
        <v>2372</v>
      </c>
      <c r="G35">
        <f t="shared" si="2"/>
        <v>1.0451999987708405E-3</v>
      </c>
      <c r="K35">
        <f t="shared" si="5"/>
        <v>1.0451999987708405E-3</v>
      </c>
      <c r="O35">
        <f t="shared" ca="1" si="3"/>
        <v>-4.2282532555690418E-4</v>
      </c>
      <c r="Q35" s="2">
        <f t="shared" si="4"/>
        <v>38077.93</v>
      </c>
    </row>
    <row r="36" spans="1:17">
      <c r="A36" s="35" t="s">
        <v>39</v>
      </c>
      <c r="B36" s="33" t="s">
        <v>40</v>
      </c>
      <c r="C36" s="35">
        <v>53096.555</v>
      </c>
      <c r="D36" s="36">
        <v>6.0000000000000001E-3</v>
      </c>
      <c r="E36" s="32">
        <f t="shared" si="0"/>
        <v>2372.5013015245604</v>
      </c>
      <c r="F36">
        <f t="shared" si="1"/>
        <v>2372.5</v>
      </c>
      <c r="G36">
        <f t="shared" si="2"/>
        <v>3.2724999618949369E-4</v>
      </c>
      <c r="K36">
        <f t="shared" si="5"/>
        <v>3.2724999618949369E-4</v>
      </c>
      <c r="O36">
        <f t="shared" ca="1" si="3"/>
        <v>-4.2271995366960932E-4</v>
      </c>
      <c r="Q36" s="2">
        <f t="shared" si="4"/>
        <v>38078.055</v>
      </c>
    </row>
    <row r="37" spans="1:17">
      <c r="A37" s="31" t="s">
        <v>41</v>
      </c>
      <c r="B37" s="34"/>
      <c r="C37" s="31">
        <v>53116.417399999998</v>
      </c>
      <c r="D37" s="31">
        <v>1E-4</v>
      </c>
      <c r="E37" s="32">
        <f t="shared" si="0"/>
        <v>2451.4971807923907</v>
      </c>
      <c r="F37">
        <f t="shared" si="1"/>
        <v>2451.5</v>
      </c>
      <c r="G37">
        <f t="shared" si="2"/>
        <v>-7.0885000604903325E-4</v>
      </c>
      <c r="J37">
        <f t="shared" ref="J37:J43" si="6">+G37</f>
        <v>-7.0885000604903325E-4</v>
      </c>
      <c r="O37">
        <f t="shared" ca="1" si="3"/>
        <v>-4.0607119547702241E-4</v>
      </c>
      <c r="Q37" s="2">
        <f t="shared" si="4"/>
        <v>38097.917399999998</v>
      </c>
    </row>
    <row r="38" spans="1:17">
      <c r="A38" s="35" t="s">
        <v>42</v>
      </c>
      <c r="B38" s="34"/>
      <c r="C38" s="31">
        <v>53117.423199999997</v>
      </c>
      <c r="D38" s="31">
        <v>1E-4</v>
      </c>
      <c r="E38" s="32">
        <f t="shared" si="0"/>
        <v>2455.4974051040303</v>
      </c>
      <c r="F38">
        <f t="shared" si="1"/>
        <v>2455.5</v>
      </c>
      <c r="G38">
        <f t="shared" si="2"/>
        <v>-6.5245000587310642E-4</v>
      </c>
      <c r="J38">
        <f t="shared" si="6"/>
        <v>-6.5245000587310642E-4</v>
      </c>
      <c r="O38">
        <f t="shared" ca="1" si="3"/>
        <v>-4.0522822037866355E-4</v>
      </c>
      <c r="Q38" s="2">
        <f t="shared" si="4"/>
        <v>38098.923199999997</v>
      </c>
    </row>
    <row r="39" spans="1:17">
      <c r="A39" s="35" t="s">
        <v>42</v>
      </c>
      <c r="B39" s="34"/>
      <c r="C39" s="31">
        <v>53117.5507</v>
      </c>
      <c r="D39" s="31">
        <v>2.0000000000000001E-4</v>
      </c>
      <c r="E39" s="32">
        <f t="shared" si="0"/>
        <v>2456.0044925963189</v>
      </c>
      <c r="F39">
        <f t="shared" si="1"/>
        <v>2456</v>
      </c>
      <c r="G39">
        <f t="shared" si="2"/>
        <v>1.1296000011498109E-3</v>
      </c>
      <c r="J39">
        <f t="shared" si="6"/>
        <v>1.1296000011498109E-3</v>
      </c>
      <c r="O39">
        <f t="shared" ca="1" si="3"/>
        <v>-4.0512284849136869E-4</v>
      </c>
      <c r="Q39" s="2">
        <f t="shared" si="4"/>
        <v>38099.0507</v>
      </c>
    </row>
    <row r="40" spans="1:17">
      <c r="A40" s="31" t="s">
        <v>43</v>
      </c>
      <c r="B40" s="34"/>
      <c r="C40" s="31">
        <v>53515.446100000001</v>
      </c>
      <c r="D40" s="31">
        <v>5.9999999999999995E-4</v>
      </c>
      <c r="E40" s="32">
        <f t="shared" si="0"/>
        <v>4038.4968892668071</v>
      </c>
      <c r="F40">
        <f t="shared" si="1"/>
        <v>4038.5</v>
      </c>
      <c r="G40">
        <f t="shared" si="2"/>
        <v>-7.8214999666670337E-4</v>
      </c>
      <c r="J40">
        <f t="shared" si="6"/>
        <v>-7.8214999666670337E-4</v>
      </c>
      <c r="O40">
        <f t="shared" ca="1" si="3"/>
        <v>-7.1620825203155586E-5</v>
      </c>
      <c r="Q40" s="2">
        <f t="shared" si="4"/>
        <v>38496.946100000001</v>
      </c>
    </row>
    <row r="41" spans="1:17">
      <c r="A41" s="31" t="s">
        <v>43</v>
      </c>
      <c r="B41" s="34"/>
      <c r="C41" s="31">
        <v>53518.4611</v>
      </c>
      <c r="D41" s="31">
        <v>1.9E-3</v>
      </c>
      <c r="E41" s="32">
        <f t="shared" si="0"/>
        <v>4050.4880170254105</v>
      </c>
      <c r="F41">
        <f t="shared" si="1"/>
        <v>4050.5</v>
      </c>
      <c r="G41">
        <f t="shared" si="2"/>
        <v>-3.0129500009934418E-3</v>
      </c>
      <c r="J41">
        <f t="shared" si="6"/>
        <v>-3.0129500009934418E-3</v>
      </c>
      <c r="O41">
        <f t="shared" ca="1" si="3"/>
        <v>-6.909189990807901E-5</v>
      </c>
      <c r="Q41" s="2">
        <f t="shared" si="4"/>
        <v>38499.9611</v>
      </c>
    </row>
    <row r="42" spans="1:17">
      <c r="A42" s="31" t="s">
        <v>44</v>
      </c>
      <c r="B42" s="30" t="s">
        <v>33</v>
      </c>
      <c r="C42" s="31">
        <v>53620.420400000003</v>
      </c>
      <c r="D42" s="31">
        <v>1.6999999999999999E-3</v>
      </c>
      <c r="E42" s="32">
        <f t="shared" si="0"/>
        <v>4455.9961405670456</v>
      </c>
      <c r="F42">
        <f t="shared" si="1"/>
        <v>4456</v>
      </c>
      <c r="G42">
        <f t="shared" si="2"/>
        <v>-9.7039999673143029E-4</v>
      </c>
      <c r="J42">
        <f t="shared" si="6"/>
        <v>-9.7039999673143029E-4</v>
      </c>
      <c r="O42">
        <f t="shared" ca="1" si="3"/>
        <v>1.6364700688047671E-5</v>
      </c>
      <c r="Q42" s="2">
        <f t="shared" si="4"/>
        <v>38601.920400000003</v>
      </c>
    </row>
    <row r="43" spans="1:17">
      <c r="A43" s="31" t="s">
        <v>43</v>
      </c>
      <c r="B43" s="34"/>
      <c r="C43" s="31">
        <v>53847.468500000003</v>
      </c>
      <c r="D43" s="31">
        <v>2E-3</v>
      </c>
      <c r="E43" s="32">
        <f t="shared" si="0"/>
        <v>5359.0020359065738</v>
      </c>
      <c r="F43">
        <f t="shared" si="1"/>
        <v>5359</v>
      </c>
      <c r="G43">
        <f t="shared" si="2"/>
        <v>5.1189999794587493E-4</v>
      </c>
      <c r="J43">
        <f t="shared" si="6"/>
        <v>5.1189999794587493E-4</v>
      </c>
      <c r="O43">
        <f t="shared" ca="1" si="3"/>
        <v>2.0666632914255402E-4</v>
      </c>
      <c r="Q43" s="2">
        <f t="shared" si="4"/>
        <v>38828.968500000003</v>
      </c>
    </row>
    <row r="44" spans="1:17">
      <c r="A44" s="35" t="s">
        <v>45</v>
      </c>
      <c r="B44" s="30" t="s">
        <v>40</v>
      </c>
      <c r="C44" s="31">
        <v>53992.423000000003</v>
      </c>
      <c r="D44" s="31">
        <v>3.0000000000000001E-3</v>
      </c>
      <c r="E44" s="32">
        <f t="shared" si="0"/>
        <v>5935.5088115897588</v>
      </c>
      <c r="F44">
        <f t="shared" si="1"/>
        <v>5935.5</v>
      </c>
      <c r="G44">
        <f t="shared" si="2"/>
        <v>2.2155500046210364E-3</v>
      </c>
      <c r="K44">
        <f t="shared" si="5"/>
        <v>2.2155500046210364E-3</v>
      </c>
      <c r="O44">
        <f t="shared" ca="1" si="3"/>
        <v>3.2816011519352082E-4</v>
      </c>
      <c r="Q44" s="2">
        <f t="shared" si="4"/>
        <v>38973.923000000003</v>
      </c>
    </row>
    <row r="45" spans="1:17">
      <c r="A45" s="35" t="s">
        <v>45</v>
      </c>
      <c r="B45" s="30" t="s">
        <v>33</v>
      </c>
      <c r="C45" s="31">
        <v>54202.495799999997</v>
      </c>
      <c r="D45" s="31">
        <v>8.9999999999999998E-4</v>
      </c>
      <c r="E45" s="32">
        <f t="shared" si="0"/>
        <v>6771.0012770650328</v>
      </c>
      <c r="F45">
        <f t="shared" si="1"/>
        <v>6771</v>
      </c>
      <c r="G45">
        <f t="shared" si="2"/>
        <v>3.2109999301610515E-4</v>
      </c>
      <c r="K45">
        <f t="shared" si="5"/>
        <v>3.2109999301610515E-4</v>
      </c>
      <c r="O45">
        <f t="shared" ca="1" si="3"/>
        <v>5.0423653886322198E-4</v>
      </c>
      <c r="Q45" s="2">
        <f t="shared" si="4"/>
        <v>39183.995799999997</v>
      </c>
    </row>
    <row r="46" spans="1:17">
      <c r="A46" s="35" t="s">
        <v>45</v>
      </c>
      <c r="B46" s="30" t="s">
        <v>40</v>
      </c>
      <c r="C46" s="31">
        <v>54202.618999999999</v>
      </c>
      <c r="D46" s="31">
        <v>3.0000000000000001E-3</v>
      </c>
      <c r="E46" s="32">
        <f t="shared" si="0"/>
        <v>6771.4912627830699</v>
      </c>
      <c r="F46">
        <f t="shared" si="1"/>
        <v>6771.5</v>
      </c>
      <c r="G46">
        <f t="shared" si="2"/>
        <v>-2.196850000473205E-3</v>
      </c>
      <c r="K46">
        <f t="shared" si="5"/>
        <v>-2.196850000473205E-3</v>
      </c>
      <c r="O46">
        <f t="shared" ca="1" si="3"/>
        <v>5.0434191075051683E-4</v>
      </c>
      <c r="Q46" s="2">
        <f t="shared" si="4"/>
        <v>39184.118999999999</v>
      </c>
    </row>
    <row r="47" spans="1:17">
      <c r="A47" s="31" t="s">
        <v>41</v>
      </c>
      <c r="B47" s="34"/>
      <c r="C47" s="31">
        <v>54245.491600000001</v>
      </c>
      <c r="D47" s="31">
        <v>8.9999999999999998E-4</v>
      </c>
      <c r="E47" s="32">
        <f t="shared" si="0"/>
        <v>6942.0023155006911</v>
      </c>
      <c r="F47">
        <f t="shared" si="1"/>
        <v>6942</v>
      </c>
      <c r="G47">
        <f t="shared" si="2"/>
        <v>5.8220000209985301E-4</v>
      </c>
      <c r="J47">
        <f>+G47</f>
        <v>5.8220000209985301E-4</v>
      </c>
      <c r="O47">
        <f t="shared" ca="1" si="3"/>
        <v>5.4027372431806209E-4</v>
      </c>
      <c r="Q47" s="2">
        <f t="shared" si="4"/>
        <v>39226.991600000001</v>
      </c>
    </row>
    <row r="48" spans="1:17">
      <c r="A48" s="35" t="s">
        <v>49</v>
      </c>
      <c r="B48" s="33" t="s">
        <v>33</v>
      </c>
      <c r="C48" s="35">
        <v>54937.442199999998</v>
      </c>
      <c r="D48" s="35">
        <v>8.0000000000000004E-4</v>
      </c>
      <c r="E48" s="32">
        <f t="shared" si="0"/>
        <v>9693.9983510707771</v>
      </c>
      <c r="F48">
        <f t="shared" si="1"/>
        <v>9694</v>
      </c>
      <c r="G48">
        <f t="shared" si="2"/>
        <v>-4.1460000647930428E-4</v>
      </c>
      <c r="J48">
        <f>+G48</f>
        <v>-4.1460000647930428E-4</v>
      </c>
      <c r="O48">
        <f t="shared" ca="1" si="3"/>
        <v>1.1202405919889392E-3</v>
      </c>
      <c r="Q48" s="2">
        <f t="shared" si="4"/>
        <v>39918.942199999998</v>
      </c>
    </row>
    <row r="49" spans="1:17">
      <c r="A49" s="50" t="s">
        <v>174</v>
      </c>
      <c r="B49" s="52" t="s">
        <v>40</v>
      </c>
      <c r="C49" s="51">
        <v>54937.5694</v>
      </c>
      <c r="D49" s="51" t="s">
        <v>64</v>
      </c>
      <c r="E49" s="32">
        <f t="shared" si="0"/>
        <v>9694.5042454160266</v>
      </c>
      <c r="F49">
        <f t="shared" si="1"/>
        <v>9694.5</v>
      </c>
      <c r="G49">
        <f t="shared" si="2"/>
        <v>1.0674500008462928E-3</v>
      </c>
      <c r="K49">
        <f t="shared" si="5"/>
        <v>1.0674500008462928E-3</v>
      </c>
      <c r="O49">
        <f t="shared" ca="1" si="3"/>
        <v>1.1203459638762338E-3</v>
      </c>
      <c r="Q49" s="2">
        <f t="shared" si="4"/>
        <v>39919.0694</v>
      </c>
    </row>
    <row r="50" spans="1:17">
      <c r="A50" s="35" t="s">
        <v>46</v>
      </c>
      <c r="B50" s="33" t="s">
        <v>33</v>
      </c>
      <c r="C50" s="35">
        <v>55067.438399999999</v>
      </c>
      <c r="D50" s="35">
        <v>1.5E-3</v>
      </c>
      <c r="E50" s="32">
        <f t="shared" si="0"/>
        <v>10211.013622159755</v>
      </c>
      <c r="F50">
        <f t="shared" si="1"/>
        <v>10211</v>
      </c>
      <c r="G50">
        <f t="shared" si="2"/>
        <v>3.4250999960931949E-3</v>
      </c>
      <c r="K50">
        <f t="shared" si="5"/>
        <v>3.4250999960931949E-3</v>
      </c>
      <c r="O50">
        <f t="shared" ca="1" si="3"/>
        <v>1.2291951234518182E-3</v>
      </c>
      <c r="Q50" s="2">
        <f t="shared" si="4"/>
        <v>40048.938399999999</v>
      </c>
    </row>
    <row r="51" spans="1:17">
      <c r="A51" s="35" t="s">
        <v>50</v>
      </c>
      <c r="B51" s="33" t="s">
        <v>33</v>
      </c>
      <c r="C51" s="35">
        <v>55358.471799999999</v>
      </c>
      <c r="D51" s="35">
        <v>1.4E-3</v>
      </c>
      <c r="E51" s="32">
        <f t="shared" si="0"/>
        <v>11368.499088634513</v>
      </c>
      <c r="F51">
        <f t="shared" si="1"/>
        <v>11368.5</v>
      </c>
      <c r="G51">
        <f t="shared" si="2"/>
        <v>-2.2914999863132834E-4</v>
      </c>
      <c r="J51">
        <f>+G51</f>
        <v>-2.2914999863132834E-4</v>
      </c>
      <c r="O51">
        <f t="shared" ca="1" si="3"/>
        <v>1.4731310425394053E-3</v>
      </c>
      <c r="Q51" s="2">
        <f t="shared" si="4"/>
        <v>40339.971799999999</v>
      </c>
    </row>
    <row r="52" spans="1:17">
      <c r="A52" s="53" t="s">
        <v>51</v>
      </c>
      <c r="B52" s="54" t="s">
        <v>40</v>
      </c>
      <c r="C52" s="55">
        <v>56071.54664</v>
      </c>
      <c r="D52" s="55">
        <v>4.0000000000000002E-4</v>
      </c>
      <c r="E52" s="32">
        <f t="shared" si="0"/>
        <v>14204.509539011731</v>
      </c>
      <c r="F52">
        <f t="shared" si="1"/>
        <v>14204.5</v>
      </c>
      <c r="G52">
        <f t="shared" si="2"/>
        <v>2.3984500003280118E-3</v>
      </c>
      <c r="K52">
        <f t="shared" si="5"/>
        <v>2.3984500003280118E-3</v>
      </c>
      <c r="O52">
        <f t="shared" ca="1" si="3"/>
        <v>2.0708003872758176E-3</v>
      </c>
      <c r="Q52" s="2">
        <f t="shared" si="4"/>
        <v>41053.04664</v>
      </c>
    </row>
    <row r="53" spans="1:17">
      <c r="A53" s="53" t="s">
        <v>51</v>
      </c>
      <c r="B53" s="54" t="s">
        <v>33</v>
      </c>
      <c r="C53" s="55">
        <v>56073.430769999999</v>
      </c>
      <c r="D53" s="55">
        <v>5.9999999999999995E-4</v>
      </c>
      <c r="E53" s="32">
        <f t="shared" si="0"/>
        <v>14212.003019457437</v>
      </c>
      <c r="F53">
        <f t="shared" si="1"/>
        <v>14212</v>
      </c>
      <c r="G53">
        <f t="shared" si="2"/>
        <v>7.5919999653706327E-4</v>
      </c>
      <c r="K53">
        <f t="shared" si="5"/>
        <v>7.5919999653706327E-4</v>
      </c>
      <c r="O53">
        <f t="shared" ca="1" si="3"/>
        <v>2.0723809655852406E-3</v>
      </c>
      <c r="Q53" s="2">
        <f t="shared" si="4"/>
        <v>41054.930769999999</v>
      </c>
    </row>
    <row r="54" spans="1:17">
      <c r="A54" s="53" t="s">
        <v>51</v>
      </c>
      <c r="B54" s="54" t="s">
        <v>40</v>
      </c>
      <c r="C54" s="55">
        <v>56073.5579</v>
      </c>
      <c r="D54" s="55">
        <v>5.0000000000000001E-4</v>
      </c>
      <c r="E54" s="32">
        <f t="shared" si="0"/>
        <v>14212.508635401702</v>
      </c>
      <c r="F54">
        <f t="shared" si="1"/>
        <v>14212.5</v>
      </c>
      <c r="G54">
        <f t="shared" si="2"/>
        <v>2.1712500019930303E-3</v>
      </c>
      <c r="K54">
        <f t="shared" si="5"/>
        <v>2.1712500019930303E-3</v>
      </c>
      <c r="O54">
        <f t="shared" ca="1" si="3"/>
        <v>2.0724863374725353E-3</v>
      </c>
      <c r="Q54" s="2">
        <f t="shared" si="4"/>
        <v>41055.0579</v>
      </c>
    </row>
    <row r="55" spans="1:17">
      <c r="A55" s="53" t="s">
        <v>51</v>
      </c>
      <c r="B55" s="54" t="s">
        <v>33</v>
      </c>
      <c r="C55" s="55">
        <v>56076.447330000003</v>
      </c>
      <c r="D55" s="55">
        <v>2.0000000000000001E-4</v>
      </c>
      <c r="E55" s="32">
        <f t="shared" si="0"/>
        <v>14224.000351580669</v>
      </c>
      <c r="F55">
        <f t="shared" si="1"/>
        <v>14224</v>
      </c>
      <c r="G55">
        <f t="shared" si="2"/>
        <v>8.8400003733113408E-5</v>
      </c>
      <c r="K55">
        <f t="shared" si="5"/>
        <v>8.8400003733113408E-5</v>
      </c>
      <c r="O55">
        <f t="shared" ca="1" si="3"/>
        <v>2.0749098908803172E-3</v>
      </c>
      <c r="Q55" s="2">
        <f t="shared" si="4"/>
        <v>41057.947330000003</v>
      </c>
    </row>
    <row r="56" spans="1:17">
      <c r="A56" s="53" t="s">
        <v>52</v>
      </c>
      <c r="B56" s="54" t="s">
        <v>40</v>
      </c>
      <c r="C56" s="55">
        <v>56132.396500000003</v>
      </c>
      <c r="D56" s="55">
        <v>1E-3</v>
      </c>
      <c r="E56" s="32">
        <f t="shared" si="0"/>
        <v>14446.518973623104</v>
      </c>
      <c r="F56">
        <f t="shared" si="1"/>
        <v>14446.5</v>
      </c>
      <c r="G56">
        <f t="shared" si="2"/>
        <v>4.7706500045023859E-3</v>
      </c>
      <c r="J56">
        <f>+G56</f>
        <v>4.7706500045023859E-3</v>
      </c>
      <c r="O56">
        <f t="shared" ca="1" si="3"/>
        <v>2.1218003807265268E-3</v>
      </c>
      <c r="Q56" s="2">
        <f t="shared" si="4"/>
        <v>41113.896500000003</v>
      </c>
    </row>
    <row r="57" spans="1:17">
      <c r="A57" s="53" t="s">
        <v>52</v>
      </c>
      <c r="B57" s="54" t="s">
        <v>33</v>
      </c>
      <c r="C57" s="55">
        <v>56132.519099999998</v>
      </c>
      <c r="D57" s="55">
        <v>2.9999999999999997E-4</v>
      </c>
      <c r="E57" s="32">
        <f t="shared" si="0"/>
        <v>14447.006573047034</v>
      </c>
      <c r="F57">
        <f t="shared" si="1"/>
        <v>14447</v>
      </c>
      <c r="G57">
        <f t="shared" si="2"/>
        <v>1.6526999970665202E-3</v>
      </c>
      <c r="J57">
        <f>+G57</f>
        <v>1.6526999970665202E-3</v>
      </c>
      <c r="O57">
        <f t="shared" ca="1" si="3"/>
        <v>2.1219057526138223E-3</v>
      </c>
      <c r="Q57" s="2">
        <f t="shared" si="4"/>
        <v>41114.019099999998</v>
      </c>
    </row>
    <row r="58" spans="1:17">
      <c r="A58" s="55" t="s">
        <v>53</v>
      </c>
      <c r="B58" s="54" t="s">
        <v>33</v>
      </c>
      <c r="C58" s="56">
        <v>56461.399920000003</v>
      </c>
      <c r="D58" s="55">
        <v>2.0000000000000001E-4</v>
      </c>
      <c r="E58" s="32">
        <f t="shared" si="0"/>
        <v>15755.017163420191</v>
      </c>
      <c r="F58">
        <f t="shared" si="1"/>
        <v>15755</v>
      </c>
      <c r="G58">
        <f t="shared" si="2"/>
        <v>4.3155000021215528E-3</v>
      </c>
      <c r="K58">
        <f t="shared" si="5"/>
        <v>4.3155000021215528E-3</v>
      </c>
      <c r="O58">
        <f t="shared" ca="1" si="3"/>
        <v>2.3975586097771603E-3</v>
      </c>
      <c r="Q58" s="2">
        <f t="shared" si="4"/>
        <v>41442.899920000003</v>
      </c>
    </row>
    <row r="59" spans="1:17">
      <c r="A59" s="55" t="s">
        <v>53</v>
      </c>
      <c r="B59" s="54" t="s">
        <v>40</v>
      </c>
      <c r="C59" s="56">
        <v>56461.52362</v>
      </c>
      <c r="D59" s="55">
        <v>2.0000000000000001E-4</v>
      </c>
      <c r="E59" s="32">
        <f t="shared" si="0"/>
        <v>15755.509137716606</v>
      </c>
      <c r="F59">
        <f t="shared" si="1"/>
        <v>15755.5</v>
      </c>
      <c r="G59">
        <f t="shared" si="2"/>
        <v>2.2975499960011803E-3</v>
      </c>
      <c r="K59">
        <f t="shared" si="5"/>
        <v>2.2975499960011803E-3</v>
      </c>
      <c r="O59">
        <f t="shared" ca="1" si="3"/>
        <v>2.397663981664455E-3</v>
      </c>
      <c r="Q59" s="2">
        <f t="shared" si="4"/>
        <v>41443.02362</v>
      </c>
    </row>
    <row r="60" spans="1:17">
      <c r="A60" s="55" t="s">
        <v>53</v>
      </c>
      <c r="B60" s="54" t="s">
        <v>33</v>
      </c>
      <c r="C60" s="56">
        <v>56818.442289999999</v>
      </c>
      <c r="D60" s="55">
        <v>4.0000000000000002E-4</v>
      </c>
      <c r="E60" s="32">
        <f t="shared" si="0"/>
        <v>17175.030653936046</v>
      </c>
      <c r="F60">
        <f t="shared" si="1"/>
        <v>17175</v>
      </c>
      <c r="G60">
        <f t="shared" si="2"/>
        <v>7.7075000008335337E-3</v>
      </c>
      <c r="K60">
        <f t="shared" si="5"/>
        <v>7.7075000008335337E-3</v>
      </c>
      <c r="O60">
        <f t="shared" ca="1" si="3"/>
        <v>2.6968147696945456E-3</v>
      </c>
      <c r="Q60" s="2">
        <f t="shared" si="4"/>
        <v>41799.942289999999</v>
      </c>
    </row>
    <row r="61" spans="1:17">
      <c r="A61" s="55" t="s">
        <v>53</v>
      </c>
      <c r="B61" s="54" t="s">
        <v>40</v>
      </c>
      <c r="C61" s="56">
        <v>56878.405550000003</v>
      </c>
      <c r="D61" s="55">
        <v>8.0000000000000004E-4</v>
      </c>
      <c r="E61" s="32">
        <f t="shared" si="0"/>
        <v>17413.513941326604</v>
      </c>
      <c r="F61">
        <f t="shared" si="1"/>
        <v>17413.5</v>
      </c>
      <c r="G61">
        <f t="shared" si="2"/>
        <v>3.5053500032518059E-3</v>
      </c>
      <c r="K61">
        <f t="shared" si="5"/>
        <v>3.5053500032518059E-3</v>
      </c>
      <c r="O61">
        <f t="shared" ca="1" si="3"/>
        <v>2.7470771599341914E-3</v>
      </c>
      <c r="Q61" s="2">
        <f t="shared" si="4"/>
        <v>41859.905550000003</v>
      </c>
    </row>
    <row r="62" spans="1:17">
      <c r="A62" s="57" t="s">
        <v>212</v>
      </c>
      <c r="B62" s="58" t="s">
        <v>40</v>
      </c>
      <c r="C62" s="59">
        <v>57186.413529999998</v>
      </c>
      <c r="D62" s="59">
        <v>2.9999999999999997E-4</v>
      </c>
      <c r="E62" s="32">
        <f>+(C62-C$7)/C$8</f>
        <v>18638.509974112676</v>
      </c>
      <c r="F62">
        <f t="shared" si="1"/>
        <v>18638.5</v>
      </c>
      <c r="G62">
        <f>+C62-(C$7+F62*C$8)</f>
        <v>2.5078499966184609E-3</v>
      </c>
      <c r="K62">
        <f t="shared" si="5"/>
        <v>2.5078499966184609E-3</v>
      </c>
      <c r="O62">
        <f ca="1">+C$11+C$12*$F62</f>
        <v>3.0052382838065836E-3</v>
      </c>
      <c r="Q62" s="2">
        <f>+C62-15018.5</f>
        <v>42167.913529999998</v>
      </c>
    </row>
    <row r="63" spans="1:17">
      <c r="A63" s="57" t="s">
        <v>212</v>
      </c>
      <c r="B63" s="58" t="s">
        <v>33</v>
      </c>
      <c r="C63" s="59">
        <v>57562.437740000001</v>
      </c>
      <c r="D63" s="59">
        <v>6.9999999999999999E-4</v>
      </c>
      <c r="E63" s="32">
        <f>+(C63-C$7)/C$8</f>
        <v>20134.017218702662</v>
      </c>
      <c r="F63">
        <f t="shared" si="1"/>
        <v>20134</v>
      </c>
      <c r="G63">
        <f>+C63-(C$7+F63*C$8)</f>
        <v>4.3293999988236465E-3</v>
      </c>
      <c r="K63">
        <f t="shared" si="5"/>
        <v>4.3293999988236465E-3</v>
      </c>
      <c r="O63">
        <f ca="1">+C$11+C$12*$F63</f>
        <v>3.3204055987054925E-3</v>
      </c>
      <c r="Q63" s="2">
        <f>+C63-15018.5</f>
        <v>42543.937740000001</v>
      </c>
    </row>
    <row r="64" spans="1:17">
      <c r="A64" s="57" t="s">
        <v>212</v>
      </c>
      <c r="B64" s="58" t="s">
        <v>40</v>
      </c>
      <c r="C64" s="59">
        <v>57627.427609999999</v>
      </c>
      <c r="D64" s="59">
        <v>2.9999999999999997E-4</v>
      </c>
      <c r="E64" s="32">
        <f>+(C64-C$7)/C$8</f>
        <v>20392.492122246655</v>
      </c>
      <c r="F64">
        <f t="shared" si="1"/>
        <v>20392.5</v>
      </c>
      <c r="G64">
        <f>+C64-(C$7+F64*C$8)</f>
        <v>-1.9807499993476085E-3</v>
      </c>
      <c r="K64">
        <f t="shared" si="5"/>
        <v>-1.9807499993476085E-3</v>
      </c>
      <c r="O64">
        <f ca="1">+C$11+C$12*$F64</f>
        <v>3.3748828644369318E-3</v>
      </c>
      <c r="Q64" s="2">
        <f>+C64-15018.5</f>
        <v>42608.927609999999</v>
      </c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</sheetData>
  <phoneticPr fontId="7" type="noConversion"/>
  <hyperlinks>
    <hyperlink ref="H142" r:id="rId1" display="http://vsolj.cetus-net.org/bulletin.html"/>
    <hyperlink ref="H135" r:id="rId2" display="http://vsolj.cetus-net.org/bulletin.html"/>
  </hyperlinks>
  <pageMargins left="0.75" right="0.75" top="1" bottom="1" header="0.5" footer="0.5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8"/>
  <sheetViews>
    <sheetView workbookViewId="0">
      <selection activeCell="A34" sqref="A34:D46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54</v>
      </c>
      <c r="I1" s="38" t="s">
        <v>55</v>
      </c>
      <c r="J1" s="39" t="s">
        <v>56</v>
      </c>
    </row>
    <row r="2" spans="1:16">
      <c r="I2" s="40" t="s">
        <v>57</v>
      </c>
      <c r="J2" s="41" t="s">
        <v>58</v>
      </c>
    </row>
    <row r="3" spans="1:16">
      <c r="A3" s="42" t="s">
        <v>59</v>
      </c>
      <c r="I3" s="40" t="s">
        <v>60</v>
      </c>
      <c r="J3" s="41" t="s">
        <v>61</v>
      </c>
    </row>
    <row r="4" spans="1:16">
      <c r="I4" s="40" t="s">
        <v>62</v>
      </c>
      <c r="J4" s="41" t="s">
        <v>61</v>
      </c>
    </row>
    <row r="5" spans="1:16" ht="13.5" thickBot="1">
      <c r="I5" s="43" t="s">
        <v>63</v>
      </c>
      <c r="J5" s="44" t="s">
        <v>64</v>
      </c>
    </row>
    <row r="10" spans="1:16" ht="13.5" thickBot="1"/>
    <row r="11" spans="1:16" ht="12.75" customHeight="1" thickBot="1">
      <c r="A11" s="10" t="str">
        <f t="shared" ref="A11:A46" si="0">P11</f>
        <v> BBS 129 </v>
      </c>
      <c r="B11" s="3" t="str">
        <f t="shared" ref="B11:B46" si="1">IF(H11=INT(H11),"I","II")</f>
        <v>I</v>
      </c>
      <c r="C11" s="10">
        <f t="shared" ref="C11:C46" si="2">1*G11</f>
        <v>52746.431600000004</v>
      </c>
      <c r="D11" s="12" t="str">
        <f t="shared" ref="D11:D46" si="3">VLOOKUP(F11,I$1:J$5,2,FALSE)</f>
        <v>vis</v>
      </c>
      <c r="E11" s="45">
        <f>VLOOKUP(C11,Active!C$21:E$973,3,FALSE)</f>
        <v>980.00563960835541</v>
      </c>
      <c r="F11" s="3" t="s">
        <v>63</v>
      </c>
      <c r="G11" s="12" t="str">
        <f t="shared" ref="G11:G46" si="4">MID(I11,3,LEN(I11)-3)</f>
        <v>52746.4316</v>
      </c>
      <c r="H11" s="10">
        <f t="shared" ref="H11:H46" si="5">1*K11</f>
        <v>980</v>
      </c>
      <c r="I11" s="46" t="s">
        <v>108</v>
      </c>
      <c r="J11" s="47" t="s">
        <v>109</v>
      </c>
      <c r="K11" s="46">
        <v>980</v>
      </c>
      <c r="L11" s="46" t="s">
        <v>110</v>
      </c>
      <c r="M11" s="47" t="s">
        <v>68</v>
      </c>
      <c r="N11" s="47" t="s">
        <v>69</v>
      </c>
      <c r="O11" s="48" t="s">
        <v>78</v>
      </c>
      <c r="P11" s="48" t="s">
        <v>111</v>
      </c>
    </row>
    <row r="12" spans="1:16" ht="12.75" customHeight="1" thickBot="1">
      <c r="A12" s="10" t="str">
        <f t="shared" si="0"/>
        <v> BBS 130 </v>
      </c>
      <c r="B12" s="3" t="str">
        <f t="shared" si="1"/>
        <v>I</v>
      </c>
      <c r="C12" s="10">
        <f t="shared" si="2"/>
        <v>53096.43</v>
      </c>
      <c r="D12" s="12" t="str">
        <f t="shared" si="3"/>
        <v>vis</v>
      </c>
      <c r="E12" s="45">
        <f>VLOOKUP(C12,Active!C$21:E$973,3,FALSE)</f>
        <v>2372.0041569242867</v>
      </c>
      <c r="F12" s="3" t="s">
        <v>63</v>
      </c>
      <c r="G12" s="12" t="str">
        <f t="shared" si="4"/>
        <v>53096.4300</v>
      </c>
      <c r="H12" s="10">
        <f t="shared" si="5"/>
        <v>2372</v>
      </c>
      <c r="I12" s="46" t="s">
        <v>112</v>
      </c>
      <c r="J12" s="47" t="s">
        <v>113</v>
      </c>
      <c r="K12" s="46">
        <v>2372</v>
      </c>
      <c r="L12" s="46" t="s">
        <v>114</v>
      </c>
      <c r="M12" s="47" t="s">
        <v>68</v>
      </c>
      <c r="N12" s="47" t="s">
        <v>69</v>
      </c>
      <c r="O12" s="48" t="s">
        <v>78</v>
      </c>
      <c r="P12" s="48" t="s">
        <v>115</v>
      </c>
    </row>
    <row r="13" spans="1:16" ht="12.75" customHeight="1" thickBot="1">
      <c r="A13" s="10" t="str">
        <f t="shared" si="0"/>
        <v> BBS 130 </v>
      </c>
      <c r="B13" s="3" t="str">
        <f t="shared" si="1"/>
        <v>II</v>
      </c>
      <c r="C13" s="10">
        <f t="shared" si="2"/>
        <v>53096.555</v>
      </c>
      <c r="D13" s="12" t="str">
        <f t="shared" si="3"/>
        <v>vis</v>
      </c>
      <c r="E13" s="45">
        <f>VLOOKUP(C13,Active!C$21:E$973,3,FALSE)</f>
        <v>2372.5013015245604</v>
      </c>
      <c r="F13" s="3" t="s">
        <v>63</v>
      </c>
      <c r="G13" s="12" t="str">
        <f t="shared" si="4"/>
        <v>53096.555</v>
      </c>
      <c r="H13" s="10">
        <f t="shared" si="5"/>
        <v>2372.5</v>
      </c>
      <c r="I13" s="46" t="s">
        <v>116</v>
      </c>
      <c r="J13" s="47" t="s">
        <v>117</v>
      </c>
      <c r="K13" s="46">
        <v>2372.5</v>
      </c>
      <c r="L13" s="46" t="s">
        <v>118</v>
      </c>
      <c r="M13" s="47" t="s">
        <v>68</v>
      </c>
      <c r="N13" s="47" t="s">
        <v>69</v>
      </c>
      <c r="O13" s="48" t="s">
        <v>78</v>
      </c>
      <c r="P13" s="48" t="s">
        <v>115</v>
      </c>
    </row>
    <row r="14" spans="1:16" ht="12.75" customHeight="1" thickBot="1">
      <c r="A14" s="10" t="str">
        <f t="shared" si="0"/>
        <v>BAVM 186 </v>
      </c>
      <c r="B14" s="3" t="str">
        <f t="shared" si="1"/>
        <v>II</v>
      </c>
      <c r="C14" s="10">
        <f t="shared" si="2"/>
        <v>53116.417399999998</v>
      </c>
      <c r="D14" s="12" t="str">
        <f t="shared" si="3"/>
        <v>vis</v>
      </c>
      <c r="E14" s="45">
        <f>VLOOKUP(C14,Active!C$21:E$973,3,FALSE)</f>
        <v>2451.4971807923907</v>
      </c>
      <c r="F14" s="3" t="s">
        <v>63</v>
      </c>
      <c r="G14" s="12" t="str">
        <f t="shared" si="4"/>
        <v>53116.4174</v>
      </c>
      <c r="H14" s="10">
        <f t="shared" si="5"/>
        <v>2451.5</v>
      </c>
      <c r="I14" s="46" t="s">
        <v>119</v>
      </c>
      <c r="J14" s="47" t="s">
        <v>120</v>
      </c>
      <c r="K14" s="46">
        <v>2451.5</v>
      </c>
      <c r="L14" s="46" t="s">
        <v>121</v>
      </c>
      <c r="M14" s="47" t="s">
        <v>122</v>
      </c>
      <c r="N14" s="47" t="s">
        <v>123</v>
      </c>
      <c r="O14" s="48" t="s">
        <v>124</v>
      </c>
      <c r="P14" s="49" t="s">
        <v>125</v>
      </c>
    </row>
    <row r="15" spans="1:16" ht="12.75" customHeight="1" thickBot="1">
      <c r="A15" s="10" t="str">
        <f t="shared" si="0"/>
        <v>BAVM 173 </v>
      </c>
      <c r="B15" s="3" t="str">
        <f t="shared" si="1"/>
        <v>II</v>
      </c>
      <c r="C15" s="10">
        <f t="shared" si="2"/>
        <v>53117.423199999997</v>
      </c>
      <c r="D15" s="12" t="str">
        <f t="shared" si="3"/>
        <v>vis</v>
      </c>
      <c r="E15" s="45">
        <f>VLOOKUP(C15,Active!C$21:E$973,3,FALSE)</f>
        <v>2455.4974051040303</v>
      </c>
      <c r="F15" s="3" t="s">
        <v>63</v>
      </c>
      <c r="G15" s="12" t="str">
        <f t="shared" si="4"/>
        <v>53117.4232</v>
      </c>
      <c r="H15" s="10">
        <f t="shared" si="5"/>
        <v>2455.5</v>
      </c>
      <c r="I15" s="46" t="s">
        <v>126</v>
      </c>
      <c r="J15" s="47" t="s">
        <v>127</v>
      </c>
      <c r="K15" s="46">
        <v>2455.5</v>
      </c>
      <c r="L15" s="46" t="s">
        <v>128</v>
      </c>
      <c r="M15" s="47" t="s">
        <v>68</v>
      </c>
      <c r="N15" s="47" t="s">
        <v>123</v>
      </c>
      <c r="O15" s="48" t="s">
        <v>124</v>
      </c>
      <c r="P15" s="49" t="s">
        <v>129</v>
      </c>
    </row>
    <row r="16" spans="1:16" ht="12.75" customHeight="1" thickBot="1">
      <c r="A16" s="10" t="str">
        <f t="shared" si="0"/>
        <v>BAVM 173 </v>
      </c>
      <c r="B16" s="3" t="str">
        <f t="shared" si="1"/>
        <v>I</v>
      </c>
      <c r="C16" s="10">
        <f t="shared" si="2"/>
        <v>53117.5507</v>
      </c>
      <c r="D16" s="12" t="str">
        <f t="shared" si="3"/>
        <v>vis</v>
      </c>
      <c r="E16" s="45">
        <f>VLOOKUP(C16,Active!C$21:E$973,3,FALSE)</f>
        <v>2456.0044925963189</v>
      </c>
      <c r="F16" s="3" t="s">
        <v>63</v>
      </c>
      <c r="G16" s="12" t="str">
        <f t="shared" si="4"/>
        <v>53117.5507</v>
      </c>
      <c r="H16" s="10">
        <f t="shared" si="5"/>
        <v>2456</v>
      </c>
      <c r="I16" s="46" t="s">
        <v>130</v>
      </c>
      <c r="J16" s="47" t="s">
        <v>131</v>
      </c>
      <c r="K16" s="46">
        <v>2456</v>
      </c>
      <c r="L16" s="46" t="s">
        <v>114</v>
      </c>
      <c r="M16" s="47" t="s">
        <v>68</v>
      </c>
      <c r="N16" s="47" t="s">
        <v>123</v>
      </c>
      <c r="O16" s="48" t="s">
        <v>124</v>
      </c>
      <c r="P16" s="49" t="s">
        <v>129</v>
      </c>
    </row>
    <row r="17" spans="1:16" ht="12.75" customHeight="1" thickBot="1">
      <c r="A17" s="10" t="str">
        <f t="shared" si="0"/>
        <v>BAVM 178 </v>
      </c>
      <c r="B17" s="3" t="str">
        <f t="shared" si="1"/>
        <v>II</v>
      </c>
      <c r="C17" s="10">
        <f t="shared" si="2"/>
        <v>53515.446100000001</v>
      </c>
      <c r="D17" s="12" t="str">
        <f t="shared" si="3"/>
        <v>vis</v>
      </c>
      <c r="E17" s="45">
        <f>VLOOKUP(C17,Active!C$21:E$973,3,FALSE)</f>
        <v>4038.4968892668071</v>
      </c>
      <c r="F17" s="3" t="s">
        <v>63</v>
      </c>
      <c r="G17" s="12" t="str">
        <f t="shared" si="4"/>
        <v>53515.4461</v>
      </c>
      <c r="H17" s="10">
        <f t="shared" si="5"/>
        <v>4038.5</v>
      </c>
      <c r="I17" s="46" t="s">
        <v>132</v>
      </c>
      <c r="J17" s="47" t="s">
        <v>133</v>
      </c>
      <c r="K17" s="46">
        <v>4038.5</v>
      </c>
      <c r="L17" s="46" t="s">
        <v>134</v>
      </c>
      <c r="M17" s="47" t="s">
        <v>122</v>
      </c>
      <c r="N17" s="47" t="s">
        <v>135</v>
      </c>
      <c r="O17" s="48" t="s">
        <v>124</v>
      </c>
      <c r="P17" s="49" t="s">
        <v>136</v>
      </c>
    </row>
    <row r="18" spans="1:16" ht="12.75" customHeight="1" thickBot="1">
      <c r="A18" s="10" t="str">
        <f t="shared" si="0"/>
        <v>BAVM 178 </v>
      </c>
      <c r="B18" s="3" t="str">
        <f t="shared" si="1"/>
        <v>II</v>
      </c>
      <c r="C18" s="10">
        <f t="shared" si="2"/>
        <v>53518.4611</v>
      </c>
      <c r="D18" s="12" t="str">
        <f t="shared" si="3"/>
        <v>vis</v>
      </c>
      <c r="E18" s="45">
        <f>VLOOKUP(C18,Active!C$21:E$973,3,FALSE)</f>
        <v>4050.4880170254105</v>
      </c>
      <c r="F18" s="3" t="s">
        <v>63</v>
      </c>
      <c r="G18" s="12" t="str">
        <f t="shared" si="4"/>
        <v>53518.4611</v>
      </c>
      <c r="H18" s="10">
        <f t="shared" si="5"/>
        <v>4050.5</v>
      </c>
      <c r="I18" s="46" t="s">
        <v>137</v>
      </c>
      <c r="J18" s="47" t="s">
        <v>138</v>
      </c>
      <c r="K18" s="46" t="s">
        <v>139</v>
      </c>
      <c r="L18" s="46" t="s">
        <v>140</v>
      </c>
      <c r="M18" s="47" t="s">
        <v>122</v>
      </c>
      <c r="N18" s="47" t="s">
        <v>135</v>
      </c>
      <c r="O18" s="48" t="s">
        <v>124</v>
      </c>
      <c r="P18" s="49" t="s">
        <v>136</v>
      </c>
    </row>
    <row r="19" spans="1:16" ht="12.75" customHeight="1" thickBot="1">
      <c r="A19" s="10" t="str">
        <f t="shared" si="0"/>
        <v>IBVS 5713 </v>
      </c>
      <c r="B19" s="3" t="str">
        <f t="shared" si="1"/>
        <v>I</v>
      </c>
      <c r="C19" s="10">
        <f t="shared" si="2"/>
        <v>53620.420400000003</v>
      </c>
      <c r="D19" s="12" t="str">
        <f t="shared" si="3"/>
        <v>vis</v>
      </c>
      <c r="E19" s="45">
        <f>VLOOKUP(C19,Active!C$21:E$973,3,FALSE)</f>
        <v>4455.9961405670456</v>
      </c>
      <c r="F19" s="3" t="s">
        <v>63</v>
      </c>
      <c r="G19" s="12" t="str">
        <f t="shared" si="4"/>
        <v>53620.4204</v>
      </c>
      <c r="H19" s="10">
        <f t="shared" si="5"/>
        <v>4456</v>
      </c>
      <c r="I19" s="46" t="s">
        <v>141</v>
      </c>
      <c r="J19" s="47" t="s">
        <v>142</v>
      </c>
      <c r="K19" s="46" t="s">
        <v>143</v>
      </c>
      <c r="L19" s="46" t="s">
        <v>144</v>
      </c>
      <c r="M19" s="47" t="s">
        <v>68</v>
      </c>
      <c r="N19" s="47" t="s">
        <v>69</v>
      </c>
      <c r="O19" s="48" t="s">
        <v>78</v>
      </c>
      <c r="P19" s="49" t="s">
        <v>145</v>
      </c>
    </row>
    <row r="20" spans="1:16" ht="12.75" customHeight="1" thickBot="1">
      <c r="A20" s="10" t="str">
        <f t="shared" si="0"/>
        <v>BAVM 178 </v>
      </c>
      <c r="B20" s="3" t="str">
        <f t="shared" si="1"/>
        <v>I</v>
      </c>
      <c r="C20" s="10">
        <f t="shared" si="2"/>
        <v>53847.468500000003</v>
      </c>
      <c r="D20" s="12" t="str">
        <f t="shared" si="3"/>
        <v>vis</v>
      </c>
      <c r="E20" s="45">
        <f>VLOOKUP(C20,Active!C$21:E$973,3,FALSE)</f>
        <v>5359.0020359065738</v>
      </c>
      <c r="F20" s="3" t="s">
        <v>63</v>
      </c>
      <c r="G20" s="12" t="str">
        <f t="shared" si="4"/>
        <v>53847.4685</v>
      </c>
      <c r="H20" s="10">
        <f t="shared" si="5"/>
        <v>5359</v>
      </c>
      <c r="I20" s="46" t="s">
        <v>146</v>
      </c>
      <c r="J20" s="47" t="s">
        <v>147</v>
      </c>
      <c r="K20" s="46" t="s">
        <v>148</v>
      </c>
      <c r="L20" s="46" t="s">
        <v>128</v>
      </c>
      <c r="M20" s="47" t="s">
        <v>122</v>
      </c>
      <c r="N20" s="47" t="s">
        <v>135</v>
      </c>
      <c r="O20" s="48" t="s">
        <v>124</v>
      </c>
      <c r="P20" s="49" t="s">
        <v>136</v>
      </c>
    </row>
    <row r="21" spans="1:16" ht="12.75" customHeight="1" thickBot="1">
      <c r="A21" s="10" t="str">
        <f t="shared" si="0"/>
        <v> BBS 133 (=IBVS 5781) </v>
      </c>
      <c r="B21" s="3" t="str">
        <f t="shared" si="1"/>
        <v>II</v>
      </c>
      <c r="C21" s="10">
        <f t="shared" si="2"/>
        <v>53992.423000000003</v>
      </c>
      <c r="D21" s="12" t="str">
        <f t="shared" si="3"/>
        <v>vis</v>
      </c>
      <c r="E21" s="45">
        <f>VLOOKUP(C21,Active!C$21:E$973,3,FALSE)</f>
        <v>5935.5088115897588</v>
      </c>
      <c r="F21" s="3" t="s">
        <v>63</v>
      </c>
      <c r="G21" s="12" t="str">
        <f t="shared" si="4"/>
        <v>53992.423</v>
      </c>
      <c r="H21" s="10">
        <f t="shared" si="5"/>
        <v>5935.5</v>
      </c>
      <c r="I21" s="46" t="s">
        <v>149</v>
      </c>
      <c r="J21" s="47" t="s">
        <v>150</v>
      </c>
      <c r="K21" s="46" t="s">
        <v>151</v>
      </c>
      <c r="L21" s="46" t="s">
        <v>152</v>
      </c>
      <c r="M21" s="47" t="s">
        <v>122</v>
      </c>
      <c r="N21" s="47" t="s">
        <v>153</v>
      </c>
      <c r="O21" s="48" t="s">
        <v>78</v>
      </c>
      <c r="P21" s="48" t="s">
        <v>154</v>
      </c>
    </row>
    <row r="22" spans="1:16" ht="12.75" customHeight="1" thickBot="1">
      <c r="A22" s="10" t="str">
        <f t="shared" si="0"/>
        <v> BBS 133 (=IBVS 5781) </v>
      </c>
      <c r="B22" s="3" t="str">
        <f t="shared" si="1"/>
        <v>I</v>
      </c>
      <c r="C22" s="10">
        <f t="shared" si="2"/>
        <v>54202.495799999997</v>
      </c>
      <c r="D22" s="12" t="str">
        <f t="shared" si="3"/>
        <v>vis</v>
      </c>
      <c r="E22" s="45">
        <f>VLOOKUP(C22,Active!C$21:E$973,3,FALSE)</f>
        <v>6771.0012770650328</v>
      </c>
      <c r="F22" s="3" t="s">
        <v>63</v>
      </c>
      <c r="G22" s="12" t="str">
        <f t="shared" si="4"/>
        <v>54202.4958</v>
      </c>
      <c r="H22" s="10">
        <f t="shared" si="5"/>
        <v>6771</v>
      </c>
      <c r="I22" s="46" t="s">
        <v>155</v>
      </c>
      <c r="J22" s="47" t="s">
        <v>156</v>
      </c>
      <c r="K22" s="46" t="s">
        <v>157</v>
      </c>
      <c r="L22" s="46" t="s">
        <v>134</v>
      </c>
      <c r="M22" s="47" t="s">
        <v>122</v>
      </c>
      <c r="N22" s="47" t="s">
        <v>123</v>
      </c>
      <c r="O22" s="48" t="s">
        <v>78</v>
      </c>
      <c r="P22" s="48" t="s">
        <v>154</v>
      </c>
    </row>
    <row r="23" spans="1:16" ht="12.75" customHeight="1" thickBot="1">
      <c r="A23" s="10" t="str">
        <f t="shared" si="0"/>
        <v> BBS 133 (=IBVS 5781) </v>
      </c>
      <c r="B23" s="3" t="str">
        <f t="shared" si="1"/>
        <v>II</v>
      </c>
      <c r="C23" s="10">
        <f t="shared" si="2"/>
        <v>54202.618999999999</v>
      </c>
      <c r="D23" s="12" t="str">
        <f t="shared" si="3"/>
        <v>vis</v>
      </c>
      <c r="E23" s="45">
        <f>VLOOKUP(C23,Active!C$21:E$973,3,FALSE)</f>
        <v>6771.4912627830699</v>
      </c>
      <c r="F23" s="3" t="s">
        <v>63</v>
      </c>
      <c r="G23" s="12" t="str">
        <f t="shared" si="4"/>
        <v>54202.619</v>
      </c>
      <c r="H23" s="10">
        <f t="shared" si="5"/>
        <v>6771.5</v>
      </c>
      <c r="I23" s="46" t="s">
        <v>158</v>
      </c>
      <c r="J23" s="47" t="s">
        <v>159</v>
      </c>
      <c r="K23" s="46" t="s">
        <v>160</v>
      </c>
      <c r="L23" s="46" t="s">
        <v>161</v>
      </c>
      <c r="M23" s="47" t="s">
        <v>122</v>
      </c>
      <c r="N23" s="47" t="s">
        <v>123</v>
      </c>
      <c r="O23" s="48" t="s">
        <v>78</v>
      </c>
      <c r="P23" s="48" t="s">
        <v>154</v>
      </c>
    </row>
    <row r="24" spans="1:16" ht="12.75" customHeight="1" thickBot="1">
      <c r="A24" s="10" t="str">
        <f t="shared" si="0"/>
        <v>BAVM 186 </v>
      </c>
      <c r="B24" s="3" t="str">
        <f t="shared" si="1"/>
        <v>I</v>
      </c>
      <c r="C24" s="10">
        <f t="shared" si="2"/>
        <v>54245.491600000001</v>
      </c>
      <c r="D24" s="12" t="str">
        <f t="shared" si="3"/>
        <v>vis</v>
      </c>
      <c r="E24" s="45">
        <f>VLOOKUP(C24,Active!C$21:E$973,3,FALSE)</f>
        <v>6942.0023155006911</v>
      </c>
      <c r="F24" s="3" t="s">
        <v>63</v>
      </c>
      <c r="G24" s="12" t="str">
        <f t="shared" si="4"/>
        <v>54245.4916</v>
      </c>
      <c r="H24" s="10">
        <f t="shared" si="5"/>
        <v>6942</v>
      </c>
      <c r="I24" s="46" t="s">
        <v>162</v>
      </c>
      <c r="J24" s="47" t="s">
        <v>163</v>
      </c>
      <c r="K24" s="46" t="s">
        <v>164</v>
      </c>
      <c r="L24" s="46" t="s">
        <v>165</v>
      </c>
      <c r="M24" s="47" t="s">
        <v>122</v>
      </c>
      <c r="N24" s="47" t="s">
        <v>135</v>
      </c>
      <c r="O24" s="48" t="s">
        <v>124</v>
      </c>
      <c r="P24" s="49" t="s">
        <v>125</v>
      </c>
    </row>
    <row r="25" spans="1:16" ht="12.75" customHeight="1" thickBot="1">
      <c r="A25" s="10" t="str">
        <f t="shared" si="0"/>
        <v>BAVM 209 </v>
      </c>
      <c r="B25" s="3" t="str">
        <f t="shared" si="1"/>
        <v>I</v>
      </c>
      <c r="C25" s="10">
        <f t="shared" si="2"/>
        <v>54937.442199999998</v>
      </c>
      <c r="D25" s="12" t="str">
        <f t="shared" si="3"/>
        <v>vis</v>
      </c>
      <c r="E25" s="45">
        <f>VLOOKUP(C25,Active!C$21:E$973,3,FALSE)</f>
        <v>9693.9983510707771</v>
      </c>
      <c r="F25" s="3" t="s">
        <v>63</v>
      </c>
      <c r="G25" s="12" t="str">
        <f t="shared" si="4"/>
        <v>54937.4422</v>
      </c>
      <c r="H25" s="10">
        <f t="shared" si="5"/>
        <v>9694</v>
      </c>
      <c r="I25" s="46" t="s">
        <v>166</v>
      </c>
      <c r="J25" s="47" t="s">
        <v>167</v>
      </c>
      <c r="K25" s="46" t="s">
        <v>168</v>
      </c>
      <c r="L25" s="46" t="s">
        <v>169</v>
      </c>
      <c r="M25" s="47" t="s">
        <v>122</v>
      </c>
      <c r="N25" s="47" t="s">
        <v>135</v>
      </c>
      <c r="O25" s="48" t="s">
        <v>124</v>
      </c>
      <c r="P25" s="49" t="s">
        <v>170</v>
      </c>
    </row>
    <row r="26" spans="1:16" ht="12.75" customHeight="1" thickBot="1">
      <c r="A26" s="10" t="str">
        <f t="shared" si="0"/>
        <v>IBVS 5920 </v>
      </c>
      <c r="B26" s="3" t="str">
        <f t="shared" si="1"/>
        <v>I</v>
      </c>
      <c r="C26" s="10">
        <f t="shared" si="2"/>
        <v>55067.438399999999</v>
      </c>
      <c r="D26" s="12" t="str">
        <f t="shared" si="3"/>
        <v>vis</v>
      </c>
      <c r="E26" s="45">
        <f>VLOOKUP(C26,Active!C$21:E$973,3,FALSE)</f>
        <v>10211.013622159755</v>
      </c>
      <c r="F26" s="3" t="s">
        <v>63</v>
      </c>
      <c r="G26" s="12" t="str">
        <f t="shared" si="4"/>
        <v>55067.4384</v>
      </c>
      <c r="H26" s="10">
        <f t="shared" si="5"/>
        <v>10211</v>
      </c>
      <c r="I26" s="46" t="s">
        <v>175</v>
      </c>
      <c r="J26" s="47" t="s">
        <v>176</v>
      </c>
      <c r="K26" s="46" t="s">
        <v>177</v>
      </c>
      <c r="L26" s="46" t="s">
        <v>178</v>
      </c>
      <c r="M26" s="47" t="s">
        <v>122</v>
      </c>
      <c r="N26" s="47" t="s">
        <v>55</v>
      </c>
      <c r="O26" s="48" t="s">
        <v>78</v>
      </c>
      <c r="P26" s="49" t="s">
        <v>179</v>
      </c>
    </row>
    <row r="27" spans="1:16" ht="12.75" customHeight="1" thickBot="1">
      <c r="A27" s="10" t="str">
        <f t="shared" si="0"/>
        <v>BAVM 214 </v>
      </c>
      <c r="B27" s="3" t="str">
        <f t="shared" si="1"/>
        <v>II</v>
      </c>
      <c r="C27" s="10">
        <f t="shared" si="2"/>
        <v>55358.471799999999</v>
      </c>
      <c r="D27" s="12" t="str">
        <f t="shared" si="3"/>
        <v>vis</v>
      </c>
      <c r="E27" s="45">
        <f>VLOOKUP(C27,Active!C$21:E$973,3,FALSE)</f>
        <v>11368.499088634513</v>
      </c>
      <c r="F27" s="3" t="s">
        <v>63</v>
      </c>
      <c r="G27" s="12" t="str">
        <f t="shared" si="4"/>
        <v>55358.4718</v>
      </c>
      <c r="H27" s="10">
        <f t="shared" si="5"/>
        <v>11368.5</v>
      </c>
      <c r="I27" s="46" t="s">
        <v>180</v>
      </c>
      <c r="J27" s="47" t="s">
        <v>181</v>
      </c>
      <c r="K27" s="46" t="s">
        <v>182</v>
      </c>
      <c r="L27" s="46" t="s">
        <v>183</v>
      </c>
      <c r="M27" s="47" t="s">
        <v>122</v>
      </c>
      <c r="N27" s="47" t="s">
        <v>135</v>
      </c>
      <c r="O27" s="48" t="s">
        <v>124</v>
      </c>
      <c r="P27" s="49" t="s">
        <v>184</v>
      </c>
    </row>
    <row r="28" spans="1:16" ht="12.75" customHeight="1" thickBot="1">
      <c r="A28" s="10" t="str">
        <f t="shared" si="0"/>
        <v>OEJV 0160 </v>
      </c>
      <c r="B28" s="3" t="str">
        <f t="shared" si="1"/>
        <v>II</v>
      </c>
      <c r="C28" s="10">
        <f t="shared" si="2"/>
        <v>56071.54664</v>
      </c>
      <c r="D28" s="12" t="str">
        <f t="shared" si="3"/>
        <v>vis</v>
      </c>
      <c r="E28" s="45">
        <f>VLOOKUP(C28,Active!C$21:E$973,3,FALSE)</f>
        <v>14204.509539011731</v>
      </c>
      <c r="F28" s="3" t="s">
        <v>63</v>
      </c>
      <c r="G28" s="12" t="str">
        <f t="shared" si="4"/>
        <v>56071.54664</v>
      </c>
      <c r="H28" s="10">
        <f t="shared" si="5"/>
        <v>14204.5</v>
      </c>
      <c r="I28" s="46" t="s">
        <v>185</v>
      </c>
      <c r="J28" s="47" t="s">
        <v>186</v>
      </c>
      <c r="K28" s="46" t="s">
        <v>187</v>
      </c>
      <c r="L28" s="46" t="s">
        <v>188</v>
      </c>
      <c r="M28" s="47" t="s">
        <v>122</v>
      </c>
      <c r="N28" s="47" t="s">
        <v>153</v>
      </c>
      <c r="O28" s="48" t="s">
        <v>189</v>
      </c>
      <c r="P28" s="49" t="s">
        <v>190</v>
      </c>
    </row>
    <row r="29" spans="1:16" ht="12.75" customHeight="1" thickBot="1">
      <c r="A29" s="10" t="str">
        <f t="shared" si="0"/>
        <v>OEJV 0160 </v>
      </c>
      <c r="B29" s="3" t="str">
        <f t="shared" si="1"/>
        <v>I</v>
      </c>
      <c r="C29" s="10">
        <f t="shared" si="2"/>
        <v>56073.430769999999</v>
      </c>
      <c r="D29" s="12" t="str">
        <f t="shared" si="3"/>
        <v>vis</v>
      </c>
      <c r="E29" s="45">
        <f>VLOOKUP(C29,Active!C$21:E$973,3,FALSE)</f>
        <v>14212.003019457437</v>
      </c>
      <c r="F29" s="3" t="s">
        <v>63</v>
      </c>
      <c r="G29" s="12" t="str">
        <f t="shared" si="4"/>
        <v>56073.43077</v>
      </c>
      <c r="H29" s="10">
        <f t="shared" si="5"/>
        <v>14212</v>
      </c>
      <c r="I29" s="46" t="s">
        <v>191</v>
      </c>
      <c r="J29" s="47" t="s">
        <v>192</v>
      </c>
      <c r="K29" s="46" t="s">
        <v>193</v>
      </c>
      <c r="L29" s="46" t="s">
        <v>194</v>
      </c>
      <c r="M29" s="47" t="s">
        <v>122</v>
      </c>
      <c r="N29" s="47" t="s">
        <v>153</v>
      </c>
      <c r="O29" s="48" t="s">
        <v>189</v>
      </c>
      <c r="P29" s="49" t="s">
        <v>190</v>
      </c>
    </row>
    <row r="30" spans="1:16" ht="12.75" customHeight="1" thickBot="1">
      <c r="A30" s="10" t="str">
        <f t="shared" si="0"/>
        <v>OEJV 0160 </v>
      </c>
      <c r="B30" s="3" t="str">
        <f t="shared" si="1"/>
        <v>II</v>
      </c>
      <c r="C30" s="10">
        <f t="shared" si="2"/>
        <v>56073.5579</v>
      </c>
      <c r="D30" s="12" t="str">
        <f t="shared" si="3"/>
        <v>vis</v>
      </c>
      <c r="E30" s="45">
        <f>VLOOKUP(C30,Active!C$21:E$973,3,FALSE)</f>
        <v>14212.508635401702</v>
      </c>
      <c r="F30" s="3" t="s">
        <v>63</v>
      </c>
      <c r="G30" s="12" t="str">
        <f t="shared" si="4"/>
        <v>56073.5579</v>
      </c>
      <c r="H30" s="10">
        <f t="shared" si="5"/>
        <v>14212.5</v>
      </c>
      <c r="I30" s="46" t="s">
        <v>195</v>
      </c>
      <c r="J30" s="47" t="s">
        <v>196</v>
      </c>
      <c r="K30" s="46" t="s">
        <v>197</v>
      </c>
      <c r="L30" s="46" t="s">
        <v>198</v>
      </c>
      <c r="M30" s="47" t="s">
        <v>122</v>
      </c>
      <c r="N30" s="47" t="s">
        <v>153</v>
      </c>
      <c r="O30" s="48" t="s">
        <v>189</v>
      </c>
      <c r="P30" s="49" t="s">
        <v>190</v>
      </c>
    </row>
    <row r="31" spans="1:16" ht="12.75" customHeight="1" thickBot="1">
      <c r="A31" s="10" t="str">
        <f t="shared" si="0"/>
        <v>OEJV 0160 </v>
      </c>
      <c r="B31" s="3" t="str">
        <f t="shared" si="1"/>
        <v>I</v>
      </c>
      <c r="C31" s="10">
        <f t="shared" si="2"/>
        <v>56076.447330000003</v>
      </c>
      <c r="D31" s="12" t="str">
        <f t="shared" si="3"/>
        <v>vis</v>
      </c>
      <c r="E31" s="45">
        <f>VLOOKUP(C31,Active!C$21:E$973,3,FALSE)</f>
        <v>14224.000351580669</v>
      </c>
      <c r="F31" s="3" t="s">
        <v>63</v>
      </c>
      <c r="G31" s="12" t="str">
        <f t="shared" si="4"/>
        <v>56076.44733</v>
      </c>
      <c r="H31" s="10">
        <f t="shared" si="5"/>
        <v>14224</v>
      </c>
      <c r="I31" s="46" t="s">
        <v>199</v>
      </c>
      <c r="J31" s="47" t="s">
        <v>200</v>
      </c>
      <c r="K31" s="46" t="s">
        <v>201</v>
      </c>
      <c r="L31" s="46" t="s">
        <v>202</v>
      </c>
      <c r="M31" s="47" t="s">
        <v>122</v>
      </c>
      <c r="N31" s="47" t="s">
        <v>153</v>
      </c>
      <c r="O31" s="48" t="s">
        <v>189</v>
      </c>
      <c r="P31" s="49" t="s">
        <v>190</v>
      </c>
    </row>
    <row r="32" spans="1:16" ht="12.75" customHeight="1" thickBot="1">
      <c r="A32" s="10" t="str">
        <f t="shared" si="0"/>
        <v>BAVM 231 </v>
      </c>
      <c r="B32" s="3" t="str">
        <f t="shared" si="1"/>
        <v>II</v>
      </c>
      <c r="C32" s="10">
        <f t="shared" si="2"/>
        <v>56132.396500000003</v>
      </c>
      <c r="D32" s="12" t="str">
        <f t="shared" si="3"/>
        <v>vis</v>
      </c>
      <c r="E32" s="45">
        <f>VLOOKUP(C32,Active!C$21:E$973,3,FALSE)</f>
        <v>14446.518973623104</v>
      </c>
      <c r="F32" s="3" t="s">
        <v>63</v>
      </c>
      <c r="G32" s="12" t="str">
        <f t="shared" si="4"/>
        <v>56132.3965</v>
      </c>
      <c r="H32" s="10">
        <f t="shared" si="5"/>
        <v>14446.5</v>
      </c>
      <c r="I32" s="46" t="s">
        <v>203</v>
      </c>
      <c r="J32" s="47" t="s">
        <v>204</v>
      </c>
      <c r="K32" s="46" t="s">
        <v>205</v>
      </c>
      <c r="L32" s="46" t="s">
        <v>206</v>
      </c>
      <c r="M32" s="47" t="s">
        <v>122</v>
      </c>
      <c r="N32" s="47" t="s">
        <v>135</v>
      </c>
      <c r="O32" s="48" t="s">
        <v>124</v>
      </c>
      <c r="P32" s="49" t="s">
        <v>207</v>
      </c>
    </row>
    <row r="33" spans="1:16" ht="12.75" customHeight="1" thickBot="1">
      <c r="A33" s="10" t="str">
        <f t="shared" si="0"/>
        <v>BAVM 231 </v>
      </c>
      <c r="B33" s="3" t="str">
        <f t="shared" si="1"/>
        <v>I</v>
      </c>
      <c r="C33" s="10">
        <f t="shared" si="2"/>
        <v>56132.519099999998</v>
      </c>
      <c r="D33" s="12" t="str">
        <f t="shared" si="3"/>
        <v>vis</v>
      </c>
      <c r="E33" s="45">
        <f>VLOOKUP(C33,Active!C$21:E$973,3,FALSE)</f>
        <v>14447.006573047034</v>
      </c>
      <c r="F33" s="3" t="s">
        <v>63</v>
      </c>
      <c r="G33" s="12" t="str">
        <f t="shared" si="4"/>
        <v>56132.5191</v>
      </c>
      <c r="H33" s="10">
        <f t="shared" si="5"/>
        <v>14447</v>
      </c>
      <c r="I33" s="46" t="s">
        <v>208</v>
      </c>
      <c r="J33" s="47" t="s">
        <v>209</v>
      </c>
      <c r="K33" s="46" t="s">
        <v>210</v>
      </c>
      <c r="L33" s="46" t="s">
        <v>211</v>
      </c>
      <c r="M33" s="47" t="s">
        <v>122</v>
      </c>
      <c r="N33" s="47" t="s">
        <v>135</v>
      </c>
      <c r="O33" s="48" t="s">
        <v>124</v>
      </c>
      <c r="P33" s="49" t="s">
        <v>207</v>
      </c>
    </row>
    <row r="34" spans="1:16" ht="12.75" customHeight="1" thickBot="1">
      <c r="A34" s="10" t="str">
        <f t="shared" si="0"/>
        <v>IBVS 4965 </v>
      </c>
      <c r="B34" s="3" t="str">
        <f t="shared" si="1"/>
        <v>I</v>
      </c>
      <c r="C34" s="10">
        <f t="shared" si="2"/>
        <v>51305.709499999997</v>
      </c>
      <c r="D34" s="12" t="str">
        <f t="shared" si="3"/>
        <v>vis</v>
      </c>
      <c r="E34" s="45">
        <f>VLOOKUP(C34,Active!C$21:E$973,3,FALSE)</f>
        <v>-4749.9720604734803</v>
      </c>
      <c r="F34" s="3" t="s">
        <v>63</v>
      </c>
      <c r="G34" s="12" t="str">
        <f t="shared" si="4"/>
        <v>51305.7095</v>
      </c>
      <c r="H34" s="10">
        <f t="shared" si="5"/>
        <v>-4750</v>
      </c>
      <c r="I34" s="46" t="s">
        <v>65</v>
      </c>
      <c r="J34" s="47" t="s">
        <v>66</v>
      </c>
      <c r="K34" s="46">
        <v>-4750</v>
      </c>
      <c r="L34" s="46" t="s">
        <v>67</v>
      </c>
      <c r="M34" s="47" t="s">
        <v>68</v>
      </c>
      <c r="N34" s="47" t="s">
        <v>69</v>
      </c>
      <c r="O34" s="48" t="s">
        <v>70</v>
      </c>
      <c r="P34" s="49" t="s">
        <v>71</v>
      </c>
    </row>
    <row r="35" spans="1:16" ht="12.75" customHeight="1" thickBot="1">
      <c r="A35" s="10" t="str">
        <f t="shared" si="0"/>
        <v>IBVS 4965 </v>
      </c>
      <c r="B35" s="3" t="str">
        <f t="shared" si="1"/>
        <v>II</v>
      </c>
      <c r="C35" s="10">
        <f t="shared" si="2"/>
        <v>51311.871200000001</v>
      </c>
      <c r="D35" s="12" t="str">
        <f t="shared" si="3"/>
        <v>vis</v>
      </c>
      <c r="E35" s="45">
        <f>VLOOKUP(C35,Active!C$21:E$973,3,FALSE)</f>
        <v>-4725.4660134054038</v>
      </c>
      <c r="F35" s="3" t="s">
        <v>63</v>
      </c>
      <c r="G35" s="12" t="str">
        <f t="shared" si="4"/>
        <v>51311.8712</v>
      </c>
      <c r="H35" s="10">
        <f t="shared" si="5"/>
        <v>-4725.5</v>
      </c>
      <c r="I35" s="46" t="s">
        <v>72</v>
      </c>
      <c r="J35" s="47" t="s">
        <v>73</v>
      </c>
      <c r="K35" s="46">
        <v>-4725.5</v>
      </c>
      <c r="L35" s="46" t="s">
        <v>74</v>
      </c>
      <c r="M35" s="47" t="s">
        <v>68</v>
      </c>
      <c r="N35" s="47" t="s">
        <v>69</v>
      </c>
      <c r="O35" s="48" t="s">
        <v>70</v>
      </c>
      <c r="P35" s="49" t="s">
        <v>71</v>
      </c>
    </row>
    <row r="36" spans="1:16" ht="12.75" customHeight="1" thickBot="1">
      <c r="A36" s="10" t="str">
        <f t="shared" si="0"/>
        <v> BBS 123 </v>
      </c>
      <c r="B36" s="3" t="str">
        <f t="shared" si="1"/>
        <v>I</v>
      </c>
      <c r="C36" s="10">
        <f t="shared" si="2"/>
        <v>51746.4764</v>
      </c>
      <c r="D36" s="12" t="str">
        <f t="shared" si="3"/>
        <v>vis</v>
      </c>
      <c r="E36" s="45">
        <f>VLOOKUP(C36,Active!C$21:E$973,3,FALSE)</f>
        <v>-2996.9729859578583</v>
      </c>
      <c r="F36" s="3" t="s">
        <v>63</v>
      </c>
      <c r="G36" s="12" t="str">
        <f t="shared" si="4"/>
        <v>51746.4764</v>
      </c>
      <c r="H36" s="10">
        <f t="shared" si="5"/>
        <v>-2997</v>
      </c>
      <c r="I36" s="46" t="s">
        <v>75</v>
      </c>
      <c r="J36" s="47" t="s">
        <v>76</v>
      </c>
      <c r="K36" s="46">
        <v>-2997</v>
      </c>
      <c r="L36" s="46" t="s">
        <v>77</v>
      </c>
      <c r="M36" s="47" t="s">
        <v>68</v>
      </c>
      <c r="N36" s="47" t="s">
        <v>69</v>
      </c>
      <c r="O36" s="48" t="s">
        <v>78</v>
      </c>
      <c r="P36" s="48" t="s">
        <v>79</v>
      </c>
    </row>
    <row r="37" spans="1:16" ht="12.75" customHeight="1" thickBot="1">
      <c r="A37" s="10" t="str">
        <f t="shared" si="0"/>
        <v> BBS 123 </v>
      </c>
      <c r="B37" s="3" t="str">
        <f t="shared" si="1"/>
        <v>II</v>
      </c>
      <c r="C37" s="10">
        <f t="shared" si="2"/>
        <v>51752.3868</v>
      </c>
      <c r="D37" s="12" t="str">
        <f t="shared" si="3"/>
        <v>vis</v>
      </c>
      <c r="E37" s="45">
        <f>VLOOKUP(C37,Active!C$21:E$973,3,FALSE)</f>
        <v>-2973.4663983941864</v>
      </c>
      <c r="F37" s="3" t="s">
        <v>63</v>
      </c>
      <c r="G37" s="12" t="str">
        <f t="shared" si="4"/>
        <v>51752.3868</v>
      </c>
      <c r="H37" s="10">
        <f t="shared" si="5"/>
        <v>-2973.5</v>
      </c>
      <c r="I37" s="46" t="s">
        <v>80</v>
      </c>
      <c r="J37" s="47" t="s">
        <v>81</v>
      </c>
      <c r="K37" s="46">
        <v>-2973.5</v>
      </c>
      <c r="L37" s="46" t="s">
        <v>82</v>
      </c>
      <c r="M37" s="47" t="s">
        <v>68</v>
      </c>
      <c r="N37" s="47" t="s">
        <v>69</v>
      </c>
      <c r="O37" s="48" t="s">
        <v>78</v>
      </c>
      <c r="P37" s="48" t="s">
        <v>79</v>
      </c>
    </row>
    <row r="38" spans="1:16" ht="12.75" customHeight="1" thickBot="1">
      <c r="A38" s="10" t="str">
        <f t="shared" si="0"/>
        <v> BBS 123 </v>
      </c>
      <c r="B38" s="3" t="str">
        <f t="shared" si="1"/>
        <v>I</v>
      </c>
      <c r="C38" s="10">
        <f t="shared" si="2"/>
        <v>51752.513599999998</v>
      </c>
      <c r="D38" s="12" t="str">
        <f t="shared" si="3"/>
        <v>vis</v>
      </c>
      <c r="E38" s="45">
        <f>VLOOKUP(C38,Active!C$21:E$973,3,FALSE)</f>
        <v>-2972.9620949116761</v>
      </c>
      <c r="F38" s="3" t="s">
        <v>63</v>
      </c>
      <c r="G38" s="12" t="str">
        <f t="shared" si="4"/>
        <v>51752.5136</v>
      </c>
      <c r="H38" s="10">
        <f t="shared" si="5"/>
        <v>-2973</v>
      </c>
      <c r="I38" s="46" t="s">
        <v>83</v>
      </c>
      <c r="J38" s="47" t="s">
        <v>84</v>
      </c>
      <c r="K38" s="46">
        <v>-2973</v>
      </c>
      <c r="L38" s="46" t="s">
        <v>85</v>
      </c>
      <c r="M38" s="47" t="s">
        <v>68</v>
      </c>
      <c r="N38" s="47" t="s">
        <v>69</v>
      </c>
      <c r="O38" s="48" t="s">
        <v>78</v>
      </c>
      <c r="P38" s="48" t="s">
        <v>79</v>
      </c>
    </row>
    <row r="39" spans="1:16" ht="12.75" customHeight="1" thickBot="1">
      <c r="A39" s="10" t="str">
        <f t="shared" si="0"/>
        <v> BBS 123 </v>
      </c>
      <c r="B39" s="3" t="str">
        <f t="shared" si="1"/>
        <v>I</v>
      </c>
      <c r="C39" s="10">
        <f t="shared" si="2"/>
        <v>51767.3485</v>
      </c>
      <c r="D39" s="12" t="str">
        <f t="shared" si="3"/>
        <v>vis</v>
      </c>
      <c r="E39" s="45">
        <f>VLOOKUP(C39,Active!C$21:E$973,3,FALSE)</f>
        <v>-2913.9613714668471</v>
      </c>
      <c r="F39" s="3" t="s">
        <v>63</v>
      </c>
      <c r="G39" s="12" t="str">
        <f t="shared" si="4"/>
        <v>51767.3485</v>
      </c>
      <c r="H39" s="10">
        <f t="shared" si="5"/>
        <v>-2914</v>
      </c>
      <c r="I39" s="46" t="s">
        <v>86</v>
      </c>
      <c r="J39" s="47" t="s">
        <v>87</v>
      </c>
      <c r="K39" s="46">
        <v>-2914</v>
      </c>
      <c r="L39" s="46" t="s">
        <v>88</v>
      </c>
      <c r="M39" s="47" t="s">
        <v>68</v>
      </c>
      <c r="N39" s="47" t="s">
        <v>69</v>
      </c>
      <c r="O39" s="48" t="s">
        <v>78</v>
      </c>
      <c r="P39" s="48" t="s">
        <v>79</v>
      </c>
    </row>
    <row r="40" spans="1:16" ht="12.75" customHeight="1" thickBot="1">
      <c r="A40" s="10" t="str">
        <f t="shared" si="0"/>
        <v> BBS 123 </v>
      </c>
      <c r="B40" s="3" t="str">
        <f t="shared" si="1"/>
        <v>I</v>
      </c>
      <c r="C40" s="10">
        <f t="shared" si="2"/>
        <v>51773.379300000001</v>
      </c>
      <c r="D40" s="12" t="str">
        <f t="shared" si="3"/>
        <v>vis</v>
      </c>
      <c r="E40" s="45">
        <f>VLOOKUP(C40,Active!C$21:E$973,3,FALSE)</f>
        <v>-2889.9759342241923</v>
      </c>
      <c r="F40" s="3" t="s">
        <v>63</v>
      </c>
      <c r="G40" s="12" t="str">
        <f t="shared" si="4"/>
        <v>51773.3793</v>
      </c>
      <c r="H40" s="10">
        <f t="shared" si="5"/>
        <v>-2890</v>
      </c>
      <c r="I40" s="46" t="s">
        <v>89</v>
      </c>
      <c r="J40" s="47" t="s">
        <v>90</v>
      </c>
      <c r="K40" s="46">
        <v>-2890</v>
      </c>
      <c r="L40" s="46" t="s">
        <v>91</v>
      </c>
      <c r="M40" s="47" t="s">
        <v>68</v>
      </c>
      <c r="N40" s="47" t="s">
        <v>69</v>
      </c>
      <c r="O40" s="48" t="s">
        <v>78</v>
      </c>
      <c r="P40" s="48" t="s">
        <v>79</v>
      </c>
    </row>
    <row r="41" spans="1:16" ht="12.75" customHeight="1" thickBot="1">
      <c r="A41" s="10" t="str">
        <f t="shared" si="0"/>
        <v> BBS 123 </v>
      </c>
      <c r="B41" s="3" t="str">
        <f t="shared" si="1"/>
        <v>II</v>
      </c>
      <c r="C41" s="10">
        <f t="shared" si="2"/>
        <v>51773.5052</v>
      </c>
      <c r="D41" s="12" t="str">
        <f t="shared" si="3"/>
        <v>vis</v>
      </c>
      <c r="E41" s="45">
        <f>VLOOKUP(C41,Active!C$21:E$973,3,FALSE)</f>
        <v>-2889.4752101827999</v>
      </c>
      <c r="F41" s="3" t="s">
        <v>63</v>
      </c>
      <c r="G41" s="12" t="str">
        <f t="shared" si="4"/>
        <v>51773.5052</v>
      </c>
      <c r="H41" s="10">
        <f t="shared" si="5"/>
        <v>-2889.5</v>
      </c>
      <c r="I41" s="46" t="s">
        <v>92</v>
      </c>
      <c r="J41" s="47" t="s">
        <v>93</v>
      </c>
      <c r="K41" s="46">
        <v>-2889.5</v>
      </c>
      <c r="L41" s="46" t="s">
        <v>94</v>
      </c>
      <c r="M41" s="47" t="s">
        <v>68</v>
      </c>
      <c r="N41" s="47" t="s">
        <v>69</v>
      </c>
      <c r="O41" s="48" t="s">
        <v>78</v>
      </c>
      <c r="P41" s="48" t="s">
        <v>79</v>
      </c>
    </row>
    <row r="42" spans="1:16" ht="12.75" customHeight="1" thickBot="1">
      <c r="A42" s="10" t="str">
        <f t="shared" si="0"/>
        <v> BBS 123 </v>
      </c>
      <c r="B42" s="3" t="str">
        <f t="shared" si="1"/>
        <v>I</v>
      </c>
      <c r="C42" s="10">
        <f t="shared" si="2"/>
        <v>51781.426500000001</v>
      </c>
      <c r="D42" s="12" t="str">
        <f t="shared" si="3"/>
        <v>vis</v>
      </c>
      <c r="E42" s="45">
        <f>VLOOKUP(C42,Active!C$21:E$973,3,FALSE)</f>
        <v>-2857.9709580055978</v>
      </c>
      <c r="F42" s="3" t="s">
        <v>63</v>
      </c>
      <c r="G42" s="12" t="str">
        <f t="shared" si="4"/>
        <v>51781.4265</v>
      </c>
      <c r="H42" s="10">
        <f t="shared" si="5"/>
        <v>-2858</v>
      </c>
      <c r="I42" s="46" t="s">
        <v>95</v>
      </c>
      <c r="J42" s="47" t="s">
        <v>96</v>
      </c>
      <c r="K42" s="46">
        <v>-2858</v>
      </c>
      <c r="L42" s="46" t="s">
        <v>97</v>
      </c>
      <c r="M42" s="47" t="s">
        <v>68</v>
      </c>
      <c r="N42" s="47" t="s">
        <v>69</v>
      </c>
      <c r="O42" s="48" t="s">
        <v>78</v>
      </c>
      <c r="P42" s="48" t="s">
        <v>79</v>
      </c>
    </row>
    <row r="43" spans="1:16" ht="12.75" customHeight="1" thickBot="1">
      <c r="A43" s="10" t="str">
        <f t="shared" si="0"/>
        <v> BBS 123 </v>
      </c>
      <c r="B43" s="3" t="str">
        <f t="shared" si="1"/>
        <v>II</v>
      </c>
      <c r="C43" s="10">
        <f t="shared" si="2"/>
        <v>51781.551800000001</v>
      </c>
      <c r="D43" s="12" t="str">
        <f t="shared" si="3"/>
        <v>vis</v>
      </c>
      <c r="E43" s="45">
        <f>VLOOKUP(C43,Active!C$21:E$973,3,FALSE)</f>
        <v>-2857.4726202582842</v>
      </c>
      <c r="F43" s="3" t="s">
        <v>63</v>
      </c>
      <c r="G43" s="12" t="str">
        <f t="shared" si="4"/>
        <v>51781.5518</v>
      </c>
      <c r="H43" s="10">
        <f t="shared" si="5"/>
        <v>-2857.5</v>
      </c>
      <c r="I43" s="46" t="s">
        <v>98</v>
      </c>
      <c r="J43" s="47" t="s">
        <v>99</v>
      </c>
      <c r="K43" s="46">
        <v>-2857.5</v>
      </c>
      <c r="L43" s="46" t="s">
        <v>77</v>
      </c>
      <c r="M43" s="47" t="s">
        <v>68</v>
      </c>
      <c r="N43" s="47" t="s">
        <v>69</v>
      </c>
      <c r="O43" s="48" t="s">
        <v>78</v>
      </c>
      <c r="P43" s="48" t="s">
        <v>79</v>
      </c>
    </row>
    <row r="44" spans="1:16" ht="12.75" customHeight="1" thickBot="1">
      <c r="A44" s="10" t="str">
        <f t="shared" si="0"/>
        <v> BBS 126 </v>
      </c>
      <c r="B44" s="3" t="str">
        <f t="shared" si="1"/>
        <v>II</v>
      </c>
      <c r="C44" s="10">
        <f t="shared" si="2"/>
        <v>52116.462</v>
      </c>
      <c r="D44" s="12" t="str">
        <f t="shared" si="3"/>
        <v>vis</v>
      </c>
      <c r="E44" s="45">
        <f>VLOOKUP(C44,Active!C$21:E$973,3,FALSE)</f>
        <v>-1525.4822402051636</v>
      </c>
      <c r="F44" s="3" t="s">
        <v>63</v>
      </c>
      <c r="G44" s="12" t="str">
        <f t="shared" si="4"/>
        <v>52116.462</v>
      </c>
      <c r="H44" s="10">
        <f t="shared" si="5"/>
        <v>-1525.5</v>
      </c>
      <c r="I44" s="46" t="s">
        <v>100</v>
      </c>
      <c r="J44" s="47" t="s">
        <v>101</v>
      </c>
      <c r="K44" s="46">
        <v>-1525.5</v>
      </c>
      <c r="L44" s="46" t="s">
        <v>102</v>
      </c>
      <c r="M44" s="47" t="s">
        <v>68</v>
      </c>
      <c r="N44" s="47" t="s">
        <v>69</v>
      </c>
      <c r="O44" s="48" t="s">
        <v>78</v>
      </c>
      <c r="P44" s="48" t="s">
        <v>103</v>
      </c>
    </row>
    <row r="45" spans="1:16" ht="12.75" customHeight="1" thickBot="1">
      <c r="A45" s="10" t="str">
        <f t="shared" si="0"/>
        <v> BBS 128 </v>
      </c>
      <c r="B45" s="3" t="str">
        <f t="shared" si="1"/>
        <v>II</v>
      </c>
      <c r="C45" s="10">
        <f t="shared" si="2"/>
        <v>52463.442600000002</v>
      </c>
      <c r="D45" s="12" t="str">
        <f t="shared" si="3"/>
        <v>vis</v>
      </c>
      <c r="E45" s="45">
        <f>VLOOKUP(C45,Active!C$21:E$973,3,FALSE)</f>
        <v>-145.48598668686103</v>
      </c>
      <c r="F45" s="3" t="s">
        <v>63</v>
      </c>
      <c r="G45" s="12" t="str">
        <f t="shared" si="4"/>
        <v>52463.4426</v>
      </c>
      <c r="H45" s="10">
        <f t="shared" si="5"/>
        <v>-145.5</v>
      </c>
      <c r="I45" s="46" t="s">
        <v>104</v>
      </c>
      <c r="J45" s="47" t="s">
        <v>105</v>
      </c>
      <c r="K45" s="46">
        <v>-145.5</v>
      </c>
      <c r="L45" s="46" t="s">
        <v>106</v>
      </c>
      <c r="M45" s="47" t="s">
        <v>68</v>
      </c>
      <c r="N45" s="47" t="s">
        <v>69</v>
      </c>
      <c r="O45" s="48" t="s">
        <v>78</v>
      </c>
      <c r="P45" s="48" t="s">
        <v>107</v>
      </c>
    </row>
    <row r="46" spans="1:16" ht="12.75" customHeight="1" thickBot="1">
      <c r="A46" s="10" t="str">
        <f t="shared" si="0"/>
        <v>BAVM 225 </v>
      </c>
      <c r="B46" s="3" t="str">
        <f t="shared" si="1"/>
        <v>II</v>
      </c>
      <c r="C46" s="10">
        <f t="shared" si="2"/>
        <v>54937.5694</v>
      </c>
      <c r="D46" s="12" t="str">
        <f t="shared" si="3"/>
        <v>vis</v>
      </c>
      <c r="E46" s="45">
        <f>VLOOKUP(C46,Active!C$21:E$973,3,FALSE)</f>
        <v>9694.5042454160266</v>
      </c>
      <c r="F46" s="3" t="s">
        <v>63</v>
      </c>
      <c r="G46" s="12" t="str">
        <f t="shared" si="4"/>
        <v>54937.5694</v>
      </c>
      <c r="H46" s="10">
        <f t="shared" si="5"/>
        <v>9694.5</v>
      </c>
      <c r="I46" s="46" t="s">
        <v>171</v>
      </c>
      <c r="J46" s="47" t="s">
        <v>172</v>
      </c>
      <c r="K46" s="46" t="s">
        <v>173</v>
      </c>
      <c r="L46" s="46" t="s">
        <v>144</v>
      </c>
      <c r="M46" s="47" t="s">
        <v>122</v>
      </c>
      <c r="N46" s="47" t="s">
        <v>135</v>
      </c>
      <c r="O46" s="48" t="s">
        <v>124</v>
      </c>
      <c r="P46" s="49" t="s">
        <v>174</v>
      </c>
    </row>
    <row r="47" spans="1:16">
      <c r="B47" s="3"/>
      <c r="E47" s="45"/>
      <c r="F47" s="3"/>
    </row>
    <row r="48" spans="1:16">
      <c r="B48" s="3"/>
      <c r="E48" s="45"/>
      <c r="F48" s="3"/>
    </row>
    <row r="49" spans="2:6">
      <c r="B49" s="3"/>
      <c r="E49" s="45"/>
      <c r="F49" s="3"/>
    </row>
    <row r="50" spans="2:6">
      <c r="B50" s="3"/>
      <c r="E50" s="45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  <row r="804" spans="2:6">
      <c r="B804" s="3"/>
      <c r="F804" s="3"/>
    </row>
    <row r="805" spans="2:6">
      <c r="B805" s="3"/>
      <c r="F805" s="3"/>
    </row>
    <row r="806" spans="2:6">
      <c r="B806" s="3"/>
      <c r="F806" s="3"/>
    </row>
    <row r="807" spans="2:6">
      <c r="B807" s="3"/>
      <c r="F807" s="3"/>
    </row>
    <row r="808" spans="2:6">
      <c r="B808" s="3"/>
      <c r="F808" s="3"/>
    </row>
    <row r="809" spans="2:6">
      <c r="B809" s="3"/>
      <c r="F809" s="3"/>
    </row>
    <row r="810" spans="2:6">
      <c r="B810" s="3"/>
      <c r="F810" s="3"/>
    </row>
    <row r="811" spans="2:6">
      <c r="B811" s="3"/>
      <c r="F811" s="3"/>
    </row>
    <row r="812" spans="2:6">
      <c r="B812" s="3"/>
      <c r="F812" s="3"/>
    </row>
    <row r="813" spans="2:6">
      <c r="B813" s="3"/>
      <c r="F813" s="3"/>
    </row>
    <row r="814" spans="2:6">
      <c r="B814" s="3"/>
      <c r="F814" s="3"/>
    </row>
    <row r="815" spans="2:6">
      <c r="B815" s="3"/>
      <c r="F815" s="3"/>
    </row>
    <row r="816" spans="2:6">
      <c r="B816" s="3"/>
      <c r="F816" s="3"/>
    </row>
    <row r="817" spans="2:6">
      <c r="B817" s="3"/>
      <c r="F817" s="3"/>
    </row>
    <row r="818" spans="2:6">
      <c r="B818" s="3"/>
      <c r="F818" s="3"/>
    </row>
    <row r="819" spans="2:6">
      <c r="B819" s="3"/>
      <c r="F819" s="3"/>
    </row>
    <row r="820" spans="2:6">
      <c r="B820" s="3"/>
      <c r="F820" s="3"/>
    </row>
    <row r="821" spans="2:6">
      <c r="B821" s="3"/>
      <c r="F821" s="3"/>
    </row>
    <row r="822" spans="2:6">
      <c r="B822" s="3"/>
      <c r="F822" s="3"/>
    </row>
    <row r="823" spans="2:6">
      <c r="B823" s="3"/>
      <c r="F823" s="3"/>
    </row>
    <row r="824" spans="2:6">
      <c r="B824" s="3"/>
      <c r="F824" s="3"/>
    </row>
    <row r="825" spans="2:6">
      <c r="B825" s="3"/>
      <c r="F825" s="3"/>
    </row>
    <row r="826" spans="2:6">
      <c r="B826" s="3"/>
      <c r="F826" s="3"/>
    </row>
    <row r="827" spans="2:6">
      <c r="B827" s="3"/>
      <c r="F827" s="3"/>
    </row>
    <row r="828" spans="2:6">
      <c r="B828" s="3"/>
      <c r="F828" s="3"/>
    </row>
    <row r="829" spans="2:6">
      <c r="B829" s="3"/>
      <c r="F829" s="3"/>
    </row>
    <row r="830" spans="2:6">
      <c r="B830" s="3"/>
      <c r="F830" s="3"/>
    </row>
    <row r="831" spans="2:6">
      <c r="B831" s="3"/>
      <c r="F831" s="3"/>
    </row>
    <row r="832" spans="2:6">
      <c r="B832" s="3"/>
      <c r="F832" s="3"/>
    </row>
    <row r="833" spans="2:6">
      <c r="B833" s="3"/>
      <c r="F833" s="3"/>
    </row>
    <row r="834" spans="2:6">
      <c r="B834" s="3"/>
      <c r="F834" s="3"/>
    </row>
    <row r="835" spans="2:6">
      <c r="B835" s="3"/>
      <c r="F835" s="3"/>
    </row>
    <row r="836" spans="2:6">
      <c r="B836" s="3"/>
      <c r="F836" s="3"/>
    </row>
    <row r="837" spans="2:6">
      <c r="B837" s="3"/>
      <c r="F837" s="3"/>
    </row>
    <row r="838" spans="2:6">
      <c r="B838" s="3"/>
      <c r="F838" s="3"/>
    </row>
  </sheetData>
  <phoneticPr fontId="7" type="noConversion"/>
  <hyperlinks>
    <hyperlink ref="P34" r:id="rId1" display="http://www.konkoly.hu/cgi-bin/IBVS?4965"/>
    <hyperlink ref="P35" r:id="rId2" display="http://www.konkoly.hu/cgi-bin/IBVS?4965"/>
    <hyperlink ref="P14" r:id="rId3" display="http://www.bav-astro.de/sfs/BAVM_link.php?BAVMnr=186"/>
    <hyperlink ref="P15" r:id="rId4" display="http://www.bav-astro.de/sfs/BAVM_link.php?BAVMnr=173"/>
    <hyperlink ref="P16" r:id="rId5" display="http://www.bav-astro.de/sfs/BAVM_link.php?BAVMnr=173"/>
    <hyperlink ref="P17" r:id="rId6" display="http://www.bav-astro.de/sfs/BAVM_link.php?BAVMnr=178"/>
    <hyperlink ref="P18" r:id="rId7" display="http://www.bav-astro.de/sfs/BAVM_link.php?BAVMnr=178"/>
    <hyperlink ref="P19" r:id="rId8" display="http://www.konkoly.hu/cgi-bin/IBVS?5713"/>
    <hyperlink ref="P20" r:id="rId9" display="http://www.bav-astro.de/sfs/BAVM_link.php?BAVMnr=178"/>
    <hyperlink ref="P24" r:id="rId10" display="http://www.bav-astro.de/sfs/BAVM_link.php?BAVMnr=186"/>
    <hyperlink ref="P25" r:id="rId11" display="http://www.bav-astro.de/sfs/BAVM_link.php?BAVMnr=209"/>
    <hyperlink ref="P46" r:id="rId12" display="http://www.bav-astro.de/sfs/BAVM_link.php?BAVMnr=225"/>
    <hyperlink ref="P26" r:id="rId13" display="http://www.konkoly.hu/cgi-bin/IBVS?5920"/>
    <hyperlink ref="P27" r:id="rId14" display="http://www.bav-astro.de/sfs/BAVM_link.php?BAVMnr=214"/>
    <hyperlink ref="P28" r:id="rId15" display="http://var.astro.cz/oejv/issues/oejv0160.pdf"/>
    <hyperlink ref="P29" r:id="rId16" display="http://var.astro.cz/oejv/issues/oejv0160.pdf"/>
    <hyperlink ref="P30" r:id="rId17" display="http://var.astro.cz/oejv/issues/oejv0160.pdf"/>
    <hyperlink ref="P31" r:id="rId18" display="http://var.astro.cz/oejv/issues/oejv0160.pdf"/>
    <hyperlink ref="P32" r:id="rId19" display="http://www.bav-astro.de/sfs/BAVM_link.php?BAVMnr=231"/>
    <hyperlink ref="P33" r:id="rId20" display="http://www.bav-astro.de/sfs/BAVM_link.php?BAVMnr=23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2024-02-14T05:18:26Z</dcterms:modified>
</cp:coreProperties>
</file>