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77E55C5-75EF-45FA-AEC7-35D2226FF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2" i="1"/>
  <c r="A22" i="1"/>
  <c r="F14" i="1"/>
  <c r="Q23" i="1"/>
  <c r="E23" i="1"/>
  <c r="F23" i="1" s="1"/>
  <c r="G23" i="1" s="1"/>
  <c r="K23" i="1" s="1"/>
  <c r="D9" i="1"/>
  <c r="E9" i="1"/>
  <c r="C17" i="1"/>
  <c r="Q21" i="1"/>
  <c r="E21" i="1"/>
  <c r="F21" i="1" s="1"/>
  <c r="G21" i="1" s="1"/>
  <c r="I21" i="1" s="1"/>
  <c r="C11" i="1"/>
  <c r="C12" i="1"/>
  <c r="O22" i="1" l="1"/>
  <c r="F15" i="1"/>
  <c r="C16" i="1"/>
  <c r="D18" i="1" s="1"/>
  <c r="O23" i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<sst xmlns="http://schemas.openxmlformats.org/spreadsheetml/2006/main" count="58" uniqueCount="54">
  <si>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</si>
  <si>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</si>
  <si>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</si>
  <si>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</si>
  <si>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</si>
  <si>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</si>
  <si>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</si>
  <si>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</si>
  <si>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</si>
  <si>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</si>
  <si>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</si>
  <si>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</si>
  <si>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</si>
  <si>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</si>
  <si>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</si>
  <si>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</si>
  <si>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</si>
  <si>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</si>
  <si>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</si>
  <si>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</si>
  <si>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</si>
  <si>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</si>
  <si>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</si>
  <si>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</si>
  <si>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</si>
  <si>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</si>
  <si>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</si>
  <si>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</si>
  <si>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</si>
  <si>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</si>
  <si>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</si>
  <si>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</si>
  <si>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</si>
  <si>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</si>
  <si>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</si>
  <si>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</si>
  <si>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</si>
  <si>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</si>
  <si>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</si>
  <si>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</si>
  <si>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UX Hor</t>
  </si>
  <si>
    <t>G8065-0460</t>
  </si>
  <si>
    <t>EW</t>
  </si>
  <si>
    <t>pr_0</t>
  </si>
  <si>
    <t>~</t>
  </si>
  <si>
    <t>UX Hor / GSC 8065-0460</t>
  </si>
  <si>
    <t>GCVS</t>
  </si>
  <si>
    <t>OEJV 0179</t>
  </si>
  <si>
    <t>I</t>
  </si>
  <si>
    <t xml:space="preserve">Mag </t>
  </si>
  <si>
    <t>Next ToM-P</t>
  </si>
  <si>
    <t>Next ToM-S</t>
  </si>
  <si>
    <t>VSX</t>
  </si>
  <si>
    <t>13.80-14.30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</si>
</sst>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7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  <xf numFmtId="0" fontId="0" fillId="26" borderId="11" xfId="0" applyFill="1" applyBorder="1" applyAlignment="1">
      <alignment horizontal="right" vertical="center"/>
    </xf>
    <xf numFmtId="0" fontId="6" fillId="26" borderId="12" xfId="0" applyFont="1" applyFill="1" applyBorder="1" applyAlignment="1"/>
    <xf numFmtId="0" fontId="34" fillId="0" borderId="13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Hor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91-4C33-A590-FF9EF093F2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6.0799999999289867E-2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91-4C33-A590-FF9EF093F2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91-4C33-A590-FF9EF093F2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1.2204999999084976E-2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91-4C33-A590-FF9EF093F2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91-4C33-A590-FF9EF093F2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91-4C33-A590-FF9EF093F2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91-4C33-A590-FF9EF093F2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5.9178454015315032E-2</c:v>
                </c:pt>
                <c:pt idx="1">
                  <c:v>1.1051273561638838E-2</c:v>
                </c:pt>
                <c:pt idx="2">
                  <c:v>2.7752724214209681E-3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91-4C33-A590-FF9EF093F2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-63180</c:v>
                </c:pt>
                <c:pt idx="1">
                  <c:v>0</c:v>
                </c:pt>
                <c:pt idx="2">
                  <c:v>10864.5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91-4C33-A590-FF9EF093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54080"/>
        <c:axId val="1"/>
      </c:scatterChart>
      <c:valAx>
        <c:axId val="397354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354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C19AD7-BBF9-A8FE-B560-47B4BCC96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5" t="s">
        <v>40</v>
      </c>
      <c r="G1" s="30">
        <v>0</v>
      </c>
      <c r="H1" s="31"/>
      <c r="I1" s="36" t="s">
        <v>41</v>
      </c>
      <c r="J1" s="35" t="s">
        <v>40</v>
      </c>
      <c r="K1" s="37">
        <v>3.2753900000000002</v>
      </c>
      <c r="L1" s="33">
        <v>-51.5244</v>
      </c>
      <c r="M1" s="34">
        <v>30585.587</v>
      </c>
      <c r="N1" s="34">
        <v>0.71275999999999995</v>
      </c>
      <c r="O1" s="32" t="s">
        <v>42</v>
      </c>
      <c r="P1" s="33">
        <v>14</v>
      </c>
      <c r="Q1" s="33">
        <v>14.4</v>
      </c>
      <c r="R1" s="38" t="s">
        <v>43</v>
      </c>
      <c r="S1" s="39" t="s">
        <v>44</v>
      </c>
    </row>
    <row r="2" spans="1:19" ht="12.95" customHeight="1" x14ac:dyDescent="0.2">
      <c r="A2" t="s">
        <v>23</v>
      </c>
      <c r="B2" t="s">
        <v>42</v>
      </c>
      <c r="C2" s="29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6">
        <v>30585.587</v>
      </c>
      <c r="D4" s="27">
        <v>0.71275999999999995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3">
        <v>53103.51</v>
      </c>
      <c r="D7" s="28" t="s">
        <v>52</v>
      </c>
    </row>
    <row r="8" spans="1:19" ht="12.95" customHeight="1" x14ac:dyDescent="0.2">
      <c r="A8" t="s">
        <v>3</v>
      </c>
      <c r="C8" s="43">
        <v>0.35641</v>
      </c>
      <c r="D8" s="28" t="s">
        <v>52</v>
      </c>
    </row>
    <row r="9" spans="1:19" ht="12.95" customHeight="1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0">
        <f ca="1">INTERCEPT(INDIRECT($E$9):G992,INDIRECT($D$9):F992)</f>
        <v>1.1051273561638838E-2</v>
      </c>
      <c r="D11" s="3"/>
      <c r="E11" s="10"/>
    </row>
    <row r="12" spans="1:19" ht="12.95" customHeight="1" x14ac:dyDescent="0.2">
      <c r="A12" s="10" t="s">
        <v>16</v>
      </c>
      <c r="B12" s="10"/>
      <c r="C12" s="20">
        <f ca="1">SLOPE(INDIRECT($E$9):G992,INDIRECT($D$9):F992)</f>
        <v>-7.6174707903887611E-7</v>
      </c>
      <c r="D12" s="3"/>
      <c r="E12" s="44" t="s">
        <v>49</v>
      </c>
      <c r="F12" s="45" t="s">
        <v>53</v>
      </c>
    </row>
    <row r="13" spans="1:19" ht="12.95" customHeight="1" x14ac:dyDescent="0.2">
      <c r="A13" s="10" t="s">
        <v>18</v>
      </c>
      <c r="B13" s="10"/>
      <c r="C13" s="3" t="s">
        <v>13</v>
      </c>
      <c r="E13" s="46" t="s">
        <v>33</v>
      </c>
      <c r="F13" s="47">
        <v>1</v>
      </c>
    </row>
    <row r="14" spans="1:19" ht="12.95" customHeight="1" x14ac:dyDescent="0.2">
      <c r="A14" s="10"/>
      <c r="B14" s="10"/>
      <c r="C14" s="10"/>
      <c r="E14" s="46" t="s">
        <v>30</v>
      </c>
      <c r="F14" s="48">
        <f ca="1">NOW()+15018.5+$C$5/24</f>
        <v>60520.851452777773</v>
      </c>
    </row>
    <row r="15" spans="1:19" ht="12.95" customHeight="1" x14ac:dyDescent="0.2">
      <c r="A15" s="12" t="s">
        <v>17</v>
      </c>
      <c r="B15" s="10"/>
      <c r="C15" s="13">
        <f ca="1">(C7+C11)+(C8+C12)*INT(MAX(F21:F3533))</f>
        <v>56975.551015653298</v>
      </c>
      <c r="E15" s="46" t="s">
        <v>34</v>
      </c>
      <c r="F15" s="48">
        <f ca="1">ROUND(2*($F$14-$C$7)/$C$8,0)/2+$F$13</f>
        <v>20812.5</v>
      </c>
    </row>
    <row r="16" spans="1:19" ht="12.95" customHeight="1" x14ac:dyDescent="0.2">
      <c r="A16" s="15" t="s">
        <v>4</v>
      </c>
      <c r="B16" s="10"/>
      <c r="C16" s="16">
        <f ca="1">+C8+C12</f>
        <v>0.35640923825292098</v>
      </c>
      <c r="E16" s="46" t="s">
        <v>35</v>
      </c>
      <c r="F16" s="48">
        <f ca="1">ROUND(2*($F$14-$C$15)/$C$16,0)/2+$F$13</f>
        <v>9948.5</v>
      </c>
    </row>
    <row r="17" spans="1:21" ht="12.95" customHeight="1" thickBot="1" x14ac:dyDescent="0.25">
      <c r="A17" s="14" t="s">
        <v>27</v>
      </c>
      <c r="B17" s="10"/>
      <c r="C17" s="10">
        <f>COUNT(C21:C2191)</f>
        <v>3</v>
      </c>
      <c r="E17" s="46" t="s">
        <v>50</v>
      </c>
      <c r="F17" s="49">
        <f ca="1">+$C$15+$C$16*$F$16-15018.5-$C$5/24</f>
        <v>45503.184155745817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56975.551015653298</v>
      </c>
      <c r="D18" s="19">
        <f ca="1">+C16</f>
        <v>0.35640923825292098</v>
      </c>
      <c r="E18" s="51" t="s">
        <v>51</v>
      </c>
      <c r="F18" s="50">
        <f ca="1">+($C$15+$C$16*$F$16)-($C$16/2)-15018.5-$C$5/24</f>
        <v>45503.005951126688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32</v>
      </c>
    </row>
    <row r="21" spans="1:21" ht="12.95" customHeight="1" x14ac:dyDescent="0.2">
      <c r="A21" t="s">
        <v>46</v>
      </c>
      <c r="C21" s="8">
        <v>30585.587</v>
      </c>
      <c r="D21" s="8" t="s">
        <v>13</v>
      </c>
      <c r="E21">
        <f>+(C21-C$7)/C$8</f>
        <v>-63179.82940994922</v>
      </c>
      <c r="F21">
        <f>ROUND(2*E21,0)/2</f>
        <v>-63180</v>
      </c>
      <c r="G21">
        <f>+C21-(C$7+F21*C$8)</f>
        <v>6.0799999999289867E-2</v>
      </c>
      <c r="I21">
        <f>+G21</f>
        <v>6.0799999999289867E-2</v>
      </c>
      <c r="O21">
        <f ca="1">+C$11+C$12*$F21</f>
        <v>5.9178454015315032E-2</v>
      </c>
      <c r="Q21" s="2">
        <f>+C21-15018.5</f>
        <v>15567.087</v>
      </c>
    </row>
    <row r="22" spans="1:21" ht="12.95" customHeight="1" x14ac:dyDescent="0.2">
      <c r="A22" t="str">
        <f>$D$7</f>
        <v>VSX</v>
      </c>
      <c r="C22" s="8">
        <f>$C$7</f>
        <v>53103.51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1.1051273561638838E-2</v>
      </c>
      <c r="Q22" s="2">
        <f>+C22-15018.5</f>
        <v>38085.01</v>
      </c>
    </row>
    <row r="23" spans="1:21" ht="12.95" customHeight="1" x14ac:dyDescent="0.2">
      <c r="A23" s="40" t="s">
        <v>47</v>
      </c>
      <c r="B23" s="41" t="s">
        <v>48</v>
      </c>
      <c r="C23" s="42">
        <v>56975.738649999999</v>
      </c>
      <c r="D23" s="42">
        <v>8.9999999999999998E-4</v>
      </c>
      <c r="E23">
        <f>+(C23-C$7)/C$8</f>
        <v>10864.534244269233</v>
      </c>
      <c r="F23">
        <f>ROUND(2*E23,0)/2</f>
        <v>10864.5</v>
      </c>
      <c r="G23">
        <f>+C23-(C$7+F23*C$8)</f>
        <v>1.2204999999084976E-2</v>
      </c>
      <c r="K23">
        <f>+G23</f>
        <v>1.2204999999084976E-2</v>
      </c>
      <c r="O23">
        <f ca="1">+C$11+C$12*$F23</f>
        <v>2.7752724214209681E-3</v>
      </c>
      <c r="Q23" s="2">
        <f>+C23-15018.5</f>
        <v>41957.238649999999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2024-07-29T08:26:05Z</dcterms:modified>
</cp:coreProperties>
</file>