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D1F2F8F-3421-484B-88FB-B5287CB43D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J26" i="1" s="1"/>
  <c r="Q26" i="1"/>
  <c r="E27" i="1"/>
  <c r="F27" i="1" s="1"/>
  <c r="G27" i="1" s="1"/>
  <c r="J27" i="1" s="1"/>
  <c r="Q27" i="1"/>
  <c r="E26" i="2"/>
  <c r="F26" i="2" s="1"/>
  <c r="G26" i="2" s="1"/>
  <c r="K26" i="2" s="1"/>
  <c r="Q26" i="2"/>
  <c r="E27" i="2"/>
  <c r="F27" i="2" s="1"/>
  <c r="G27" i="2" s="1"/>
  <c r="K27" i="2" s="1"/>
  <c r="Q27" i="2"/>
  <c r="E24" i="1"/>
  <c r="F24" i="1"/>
  <c r="G24" i="1"/>
  <c r="I24" i="1"/>
  <c r="Q24" i="1"/>
  <c r="E25" i="1"/>
  <c r="F25" i="1"/>
  <c r="G25" i="1"/>
  <c r="J25" i="1"/>
  <c r="Q25" i="1"/>
  <c r="Q25" i="2"/>
  <c r="D9" i="2"/>
  <c r="C9" i="2"/>
  <c r="Q24" i="2"/>
  <c r="C8" i="1"/>
  <c r="R3" i="2"/>
  <c r="R4" i="2"/>
  <c r="C7" i="2"/>
  <c r="E25" i="2"/>
  <c r="F25" i="2"/>
  <c r="E21" i="2"/>
  <c r="F21" i="2"/>
  <c r="G21" i="2"/>
  <c r="H21" i="2"/>
  <c r="F17" i="2"/>
  <c r="C17" i="2"/>
  <c r="Q21" i="2"/>
  <c r="Q22" i="2"/>
  <c r="E23" i="2"/>
  <c r="F23" i="2"/>
  <c r="G23" i="2"/>
  <c r="K23" i="2"/>
  <c r="Q23" i="2"/>
  <c r="R3" i="1"/>
  <c r="R4" i="1"/>
  <c r="G11" i="1"/>
  <c r="F11" i="1"/>
  <c r="Q22" i="1"/>
  <c r="Q23" i="1"/>
  <c r="E15" i="1"/>
  <c r="C17" i="1"/>
  <c r="C7" i="1"/>
  <c r="Q21" i="1"/>
  <c r="E22" i="1"/>
  <c r="F22" i="1"/>
  <c r="E24" i="2"/>
  <c r="F24" i="2"/>
  <c r="G24" i="2"/>
  <c r="I24" i="2"/>
  <c r="E23" i="1"/>
  <c r="F23" i="1"/>
  <c r="G23" i="1"/>
  <c r="J23" i="1"/>
  <c r="E22" i="2"/>
  <c r="F22" i="2"/>
  <c r="G22" i="2"/>
  <c r="G22" i="1"/>
  <c r="J22" i="1"/>
  <c r="E21" i="1"/>
  <c r="F21" i="1"/>
  <c r="G21" i="1"/>
  <c r="G25" i="2"/>
  <c r="K25" i="2"/>
  <c r="H21" i="1"/>
  <c r="K22" i="2"/>
  <c r="C11" i="2"/>
  <c r="C12" i="2"/>
  <c r="C11" i="1"/>
  <c r="O27" i="2" l="1"/>
  <c r="O26" i="2"/>
  <c r="O25" i="2"/>
  <c r="O22" i="2"/>
  <c r="C15" i="2"/>
  <c r="O21" i="2"/>
  <c r="O23" i="2"/>
  <c r="O24" i="2"/>
  <c r="C16" i="2"/>
  <c r="D18" i="2" s="1"/>
  <c r="C12" i="1"/>
  <c r="O23" i="1" l="1"/>
  <c r="O26" i="1"/>
  <c r="C15" i="1"/>
  <c r="O27" i="1"/>
  <c r="O22" i="1"/>
  <c r="C16" i="1"/>
  <c r="D18" i="1" s="1"/>
  <c r="O24" i="1"/>
  <c r="O21" i="1"/>
  <c r="O25" i="1"/>
  <c r="C18" i="2"/>
  <c r="F18" i="2"/>
  <c r="F19" i="2" s="1"/>
  <c r="E16" i="1" l="1"/>
  <c r="E17" i="1" s="1"/>
  <c r="C18" i="1"/>
</calcChain>
</file>

<file path=xl/sharedStrings.xml><?xml version="1.0" encoding="utf-8"?>
<sst xmlns="http://schemas.openxmlformats.org/spreadsheetml/2006/main" count="113" uniqueCount="54">
  <si>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</si>
  <si>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</si>
  <si>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</si>
  <si>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</si>
  <si>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</si>
  <si>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</si>
  <si>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</si>
  <si>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</si>
  <si>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</si>
  <si>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</si>
  <si>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</si>
  <si>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</si>
  <si>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</si>
  <si>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</si>
  <si>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</si>
  <si>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</si>
  <si>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</si>
  <si>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</si>
  <si>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</si>
  <si>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</si>
  <si>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</si>
  <si>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</si>
  <si>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</si>
  <si>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</si>
  <si>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</si>
  <si>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</si>
  <si>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</si>
  <si>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</si>
  <si>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</si>
  <si>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EA/DM</t>
  </si>
  <si>
    <t># of data points:</t>
  </si>
  <si>
    <t>HU Hya / GSC 05430-02851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</si>
  <si>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</si>
  <si>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</si>
  <si>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</si>
  <si>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</si>
  <si>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</si>
  <si>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</si>
  <si>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</si>
  <si>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5843</t>
  </si>
  <si>
    <t>I</t>
  </si>
  <si>
    <t>OEJV 0147</t>
  </si>
  <si>
    <t>VSB-64</t>
  </si>
  <si>
    <t>Ic</t>
  </si>
  <si>
    <t>pg</t>
  </si>
  <si>
    <t>vis</t>
  </si>
  <si>
    <t>PE</t>
  </si>
  <si>
    <t>CCD</t>
  </si>
  <si>
    <t>s5</t>
  </si>
  <si>
    <t>s6</t>
  </si>
  <si>
    <t>s7</t>
  </si>
  <si>
    <t>VSB, 108</t>
  </si>
  <si>
    <t>II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</si>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</sst>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48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>
      <alignment vertical="top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8" fillId="0" borderId="0" xfId="0" applyFont="1" applyAlignment="1">
      <alignment horizontal="right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2" borderId="0" xfId="0" applyFont="1" applyFill="1" applyAlignment="1"/>
    <xf numFmtId="0" fontId="19" fillId="0" borderId="0" xfId="0" applyFont="1" applyAlignment="1"/>
    <xf numFmtId="0" fontId="19" fillId="0" borderId="0" xfId="0" applyFont="1" applyAlignment="1">
      <alignment horizontal="center"/>
    </xf>
    <xf numFmtId="165" fontId="19" fillId="0" borderId="0" xfId="0" applyNumberFormat="1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/>
      <protection locked="0"/>
    </xf>
    <xf numFmtId="166" fontId="20" fillId="0" borderId="0" xfId="0" applyNumberFormat="1" applyFont="1" applyAlignment="1" applyProtection="1">
      <alignment vertical="center" wrapText="1"/>
      <protection locked="0"/>
    </xf>
    <xf numFmtId="0" fontId="17" fillId="0" borderId="0" xfId="0" applyFont="1" applyAlignment="1"/>
    <xf numFmtId="0" fontId="18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HU Hya - O-C Diagr.</a:t>
            </a:r>
          </a:p>
        </c:rich>
      </c:tx>
      <c:layout>
        <c:manualLayout>
          <c:xMode val="edge"/>
          <c:yMode val="edge"/>
          <c:x val="0.37580645161290321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860681114551083"/>
          <c:w val="0.80967741935483872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10445</c:v>
                </c:pt>
                <c:pt idx="2">
                  <c:v>10447</c:v>
                </c:pt>
                <c:pt idx="3">
                  <c:v>11444</c:v>
                </c:pt>
                <c:pt idx="4">
                  <c:v>12177</c:v>
                </c:pt>
                <c:pt idx="5">
                  <c:v>12907</c:v>
                </c:pt>
                <c:pt idx="6">
                  <c:v>12919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9A-4401-A68D-7E39AFF2B8A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10445</c:v>
                </c:pt>
                <c:pt idx="2">
                  <c:v>10447</c:v>
                </c:pt>
                <c:pt idx="3">
                  <c:v>11444</c:v>
                </c:pt>
                <c:pt idx="4">
                  <c:v>12177</c:v>
                </c:pt>
                <c:pt idx="5">
                  <c:v>12907</c:v>
                </c:pt>
                <c:pt idx="6">
                  <c:v>12919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-0.14735999999538762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9A-4401-A68D-7E39AFF2B8A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10445</c:v>
                </c:pt>
                <c:pt idx="2">
                  <c:v>10447</c:v>
                </c:pt>
                <c:pt idx="3">
                  <c:v>11444</c:v>
                </c:pt>
                <c:pt idx="4">
                  <c:v>12177</c:v>
                </c:pt>
                <c:pt idx="5">
                  <c:v>12907</c:v>
                </c:pt>
                <c:pt idx="6">
                  <c:v>12919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-0.11149999999179272</c:v>
                </c:pt>
                <c:pt idx="2">
                  <c:v>-0.11947999999392778</c:v>
                </c:pt>
                <c:pt idx="4">
                  <c:v>-0.16867999999521999</c:v>
                </c:pt>
                <c:pt idx="5">
                  <c:v>-0.20907999986957293</c:v>
                </c:pt>
                <c:pt idx="6">
                  <c:v>-0.46736000009695999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9A-4401-A68D-7E39AFF2B8A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10445</c:v>
                </c:pt>
                <c:pt idx="2">
                  <c:v>10447</c:v>
                </c:pt>
                <c:pt idx="3">
                  <c:v>11444</c:v>
                </c:pt>
                <c:pt idx="4">
                  <c:v>12177</c:v>
                </c:pt>
                <c:pt idx="5">
                  <c:v>12907</c:v>
                </c:pt>
                <c:pt idx="6">
                  <c:v>12919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9A-4401-A68D-7E39AFF2B8A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10445</c:v>
                </c:pt>
                <c:pt idx="2">
                  <c:v>10447</c:v>
                </c:pt>
                <c:pt idx="3">
                  <c:v>11444</c:v>
                </c:pt>
                <c:pt idx="4">
                  <c:v>12177</c:v>
                </c:pt>
                <c:pt idx="5">
                  <c:v>12907</c:v>
                </c:pt>
                <c:pt idx="6">
                  <c:v>12919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9A-4401-A68D-7E39AFF2B8A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10445</c:v>
                </c:pt>
                <c:pt idx="2">
                  <c:v>10447</c:v>
                </c:pt>
                <c:pt idx="3">
                  <c:v>11444</c:v>
                </c:pt>
                <c:pt idx="4">
                  <c:v>12177</c:v>
                </c:pt>
                <c:pt idx="5">
                  <c:v>12907</c:v>
                </c:pt>
                <c:pt idx="6">
                  <c:v>12919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9A-4401-A68D-7E39AFF2B8A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10445</c:v>
                </c:pt>
                <c:pt idx="2">
                  <c:v>10447</c:v>
                </c:pt>
                <c:pt idx="3">
                  <c:v>11444</c:v>
                </c:pt>
                <c:pt idx="4">
                  <c:v>12177</c:v>
                </c:pt>
                <c:pt idx="5">
                  <c:v>12907</c:v>
                </c:pt>
                <c:pt idx="6">
                  <c:v>12919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9A-4401-A68D-7E39AFF2B8A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10445</c:v>
                </c:pt>
                <c:pt idx="2">
                  <c:v>10447</c:v>
                </c:pt>
                <c:pt idx="3">
                  <c:v>11444</c:v>
                </c:pt>
                <c:pt idx="4">
                  <c:v>12177</c:v>
                </c:pt>
                <c:pt idx="5">
                  <c:v>12907</c:v>
                </c:pt>
                <c:pt idx="6">
                  <c:v>12919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3.5272376329887112E-2</c:v>
                </c:pt>
                <c:pt idx="1">
                  <c:v>-0.18306993013968001</c:v>
                </c:pt>
                <c:pt idx="2">
                  <c:v>-0.18311173814474838</c:v>
                </c:pt>
                <c:pt idx="3">
                  <c:v>-0.20395302867133128</c:v>
                </c:pt>
                <c:pt idx="4">
                  <c:v>-0.21927566252888925</c:v>
                </c:pt>
                <c:pt idx="5">
                  <c:v>-0.23453558437884459</c:v>
                </c:pt>
                <c:pt idx="6">
                  <c:v>-0.23478643240925484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9A-4401-A68D-7E39AFF2B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886800"/>
        <c:axId val="1"/>
      </c:scatterChart>
      <c:valAx>
        <c:axId val="549886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886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93548387096773"/>
          <c:y val="0.91950464396284826"/>
          <c:w val="0.72258064516129028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HU Hya - O-C Diagr.</a:t>
            </a:r>
          </a:p>
        </c:rich>
      </c:tx>
      <c:layout>
        <c:manualLayout>
          <c:xMode val="edge"/>
          <c:yMode val="edge"/>
          <c:x val="0.37580637487178886"/>
          <c:y val="3.40557582741181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860681114551083"/>
          <c:w val="0.8193548387096774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10461</c:v>
                </c:pt>
                <c:pt idx="2">
                  <c:v>10463</c:v>
                </c:pt>
                <c:pt idx="3">
                  <c:v>11461.5</c:v>
                </c:pt>
                <c:pt idx="4">
                  <c:v>12196</c:v>
                </c:pt>
                <c:pt idx="5">
                  <c:v>12927</c:v>
                </c:pt>
                <c:pt idx="6">
                  <c:v>12939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91-4411-AB87-BCEAF8D6E068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10461</c:v>
                </c:pt>
                <c:pt idx="2">
                  <c:v>10463</c:v>
                </c:pt>
                <c:pt idx="3">
                  <c:v>11461.5</c:v>
                </c:pt>
                <c:pt idx="4">
                  <c:v>12196</c:v>
                </c:pt>
                <c:pt idx="5">
                  <c:v>12927</c:v>
                </c:pt>
                <c:pt idx="6">
                  <c:v>12939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3">
                  <c:v>1.5463250188768143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91-4411-AB87-BCEAF8D6E06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10461</c:v>
                </c:pt>
                <c:pt idx="2">
                  <c:v>10463</c:v>
                </c:pt>
                <c:pt idx="3">
                  <c:v>11461.5</c:v>
                </c:pt>
                <c:pt idx="4">
                  <c:v>12196</c:v>
                </c:pt>
                <c:pt idx="5">
                  <c:v>12927</c:v>
                </c:pt>
                <c:pt idx="6">
                  <c:v>12939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91-4411-AB87-BCEAF8D6E06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10461</c:v>
                </c:pt>
                <c:pt idx="2">
                  <c:v>10463</c:v>
                </c:pt>
                <c:pt idx="3">
                  <c:v>11461.5</c:v>
                </c:pt>
                <c:pt idx="4">
                  <c:v>12196</c:v>
                </c:pt>
                <c:pt idx="5">
                  <c:v>12927</c:v>
                </c:pt>
                <c:pt idx="6">
                  <c:v>12939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">
                  <c:v>1.3648500172348577</c:v>
                </c:pt>
                <c:pt idx="2">
                  <c:v>1.3648500172348577</c:v>
                </c:pt>
                <c:pt idx="4">
                  <c:v>0.68100002008577576</c:v>
                </c:pt>
                <c:pt idx="5">
                  <c:v>1.0408500214180094</c:v>
                </c:pt>
                <c:pt idx="6">
                  <c:v>0.83045002121798461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91-4411-AB87-BCEAF8D6E068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10461</c:v>
                </c:pt>
                <c:pt idx="2">
                  <c:v>10463</c:v>
                </c:pt>
                <c:pt idx="3">
                  <c:v>11461.5</c:v>
                </c:pt>
                <c:pt idx="4">
                  <c:v>12196</c:v>
                </c:pt>
                <c:pt idx="5">
                  <c:v>12927</c:v>
                </c:pt>
                <c:pt idx="6">
                  <c:v>12939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91-4411-AB87-BCEAF8D6E068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10461</c:v>
                </c:pt>
                <c:pt idx="2">
                  <c:v>10463</c:v>
                </c:pt>
                <c:pt idx="3">
                  <c:v>11461.5</c:v>
                </c:pt>
                <c:pt idx="4">
                  <c:v>12196</c:v>
                </c:pt>
                <c:pt idx="5">
                  <c:v>12927</c:v>
                </c:pt>
                <c:pt idx="6">
                  <c:v>12939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91-4411-AB87-BCEAF8D6E068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5.0000000000000001E-3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10461</c:v>
                </c:pt>
                <c:pt idx="2">
                  <c:v>10463</c:v>
                </c:pt>
                <c:pt idx="3">
                  <c:v>11461.5</c:v>
                </c:pt>
                <c:pt idx="4">
                  <c:v>12196</c:v>
                </c:pt>
                <c:pt idx="5">
                  <c:v>12927</c:v>
                </c:pt>
                <c:pt idx="6">
                  <c:v>12939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91-4411-AB87-BCEAF8D6E068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10461</c:v>
                </c:pt>
                <c:pt idx="2">
                  <c:v>10463</c:v>
                </c:pt>
                <c:pt idx="3">
                  <c:v>11461.5</c:v>
                </c:pt>
                <c:pt idx="4">
                  <c:v>12196</c:v>
                </c:pt>
                <c:pt idx="5">
                  <c:v>12927</c:v>
                </c:pt>
                <c:pt idx="6">
                  <c:v>12939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3.6813300323255618</c:v>
                </c:pt>
                <c:pt idx="1">
                  <c:v>1.4153695401894923</c:v>
                </c:pt>
                <c:pt idx="2">
                  <c:v>1.4149363195619928</c:v>
                </c:pt>
                <c:pt idx="3">
                  <c:v>1.1986509212828738</c:v>
                </c:pt>
                <c:pt idx="4">
                  <c:v>1.0395506458336872</c:v>
                </c:pt>
                <c:pt idx="5">
                  <c:v>0.88120850648262428</c:v>
                </c:pt>
                <c:pt idx="6">
                  <c:v>0.87860918271762767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91-4411-AB87-BCEAF8D6E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896160"/>
        <c:axId val="1"/>
      </c:scatterChart>
      <c:valAx>
        <c:axId val="549896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329866270430911"/>
              <c:y val="0.83536585365853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99961000417301E-2"/>
              <c:y val="0.368421035785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896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93313521545319"/>
          <c:y val="0.91768292682926833"/>
          <c:w val="0.74442793462109957"/>
          <c:h val="6.0975609756097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15</xdr:col>
      <xdr:colOff>266700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A7A69FC-950B-4560-7424-58722746E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171450</xdr:colOff>
      <xdr:row>18</xdr:row>
      <xdr:rowOff>47625</xdr:rowOff>
    </xdr:to>
    <xdr:graphicFrame macro="">
      <xdr:nvGraphicFramePr>
        <xdr:cNvPr id="50180" name="Chart 1026">
          <a:extLst>
            <a:ext uri="{FF2B5EF4-FFF2-40B4-BE49-F238E27FC236}">
              <a16:creationId xmlns:a16="http://schemas.microsoft.com/office/drawing/2014/main" id="{70CE2F80-43E8-271E-77AC-15DD71DED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39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38" sqref="E3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3">
      <c r="A1" s="1" t="s">
        <v>31</v>
      </c>
    </row>
    <row r="2" spans="1:18" x14ac:dyDescent="0.2">
      <c r="A2" t="s">
        <v>24</v>
      </c>
      <c r="B2" s="9" t="s">
        <v>29</v>
      </c>
    </row>
    <row r="3" spans="1:18" x14ac:dyDescent="0.2">
      <c r="R3">
        <f>C23-C22</f>
        <v>5.0248999999967054</v>
      </c>
    </row>
    <row r="4" spans="1:18" x14ac:dyDescent="0.2">
      <c r="A4" s="6" t="s">
        <v>0</v>
      </c>
      <c r="C4" s="3">
        <v>27120.55</v>
      </c>
      <c r="D4" s="4">
        <v>2.5164399999999998</v>
      </c>
      <c r="R4">
        <f>R3/2</f>
        <v>2.5124499999983527</v>
      </c>
    </row>
    <row r="6" spans="1:18" x14ac:dyDescent="0.2">
      <c r="A6" s="6" t="s">
        <v>1</v>
      </c>
    </row>
    <row r="7" spans="1:18" x14ac:dyDescent="0.2">
      <c r="A7" t="s">
        <v>2</v>
      </c>
      <c r="C7">
        <f>+C4</f>
        <v>27120.55</v>
      </c>
    </row>
    <row r="8" spans="1:18" x14ac:dyDescent="0.2">
      <c r="A8" t="s">
        <v>3</v>
      </c>
      <c r="C8">
        <f>D4</f>
        <v>2.5164399999999998</v>
      </c>
    </row>
    <row r="9" spans="1:18" x14ac:dyDescent="0.2">
      <c r="A9" s="11" t="s">
        <v>32</v>
      </c>
      <c r="B9" s="12"/>
      <c r="C9" s="13">
        <v>-93.5</v>
      </c>
      <c r="D9" s="12" t="s">
        <v>33</v>
      </c>
      <c r="E9" s="12"/>
    </row>
    <row r="10" spans="1:18" ht="13.5" thickBot="1" x14ac:dyDescent="0.25">
      <c r="A10" s="12"/>
      <c r="B10" s="12"/>
      <c r="C10" s="5" t="s">
        <v>20</v>
      </c>
      <c r="D10" s="5" t="s">
        <v>21</v>
      </c>
      <c r="E10" s="12"/>
    </row>
    <row r="11" spans="1:18" x14ac:dyDescent="0.2">
      <c r="A11" s="12" t="s">
        <v>16</v>
      </c>
      <c r="B11" s="12"/>
      <c r="C11" s="14">
        <f ca="1">INTERCEPT(INDIRECT($G$11):G975,INDIRECT($F$11):F975)</f>
        <v>3.5272376329887112E-2</v>
      </c>
      <c r="D11" s="15"/>
      <c r="E11" s="12"/>
      <c r="F11" s="16" t="str">
        <f>"F"&amp;E19</f>
        <v>F21</v>
      </c>
      <c r="G11" s="17" t="str">
        <f>"G"&amp;E19</f>
        <v>G21</v>
      </c>
    </row>
    <row r="12" spans="1:18" x14ac:dyDescent="0.2">
      <c r="A12" s="12" t="s">
        <v>17</v>
      </c>
      <c r="B12" s="12"/>
      <c r="C12" s="14">
        <f ca="1">SLOPE(INDIRECT($G$11):G975,INDIRECT($F$11):F975)</f>
        <v>-2.0904002534185459E-5</v>
      </c>
      <c r="D12" s="15"/>
      <c r="E12" s="12"/>
    </row>
    <row r="13" spans="1:18" x14ac:dyDescent="0.2">
      <c r="A13" s="12" t="s">
        <v>19</v>
      </c>
      <c r="B13" s="12"/>
      <c r="C13" s="15" t="s">
        <v>14</v>
      </c>
      <c r="D13" s="15"/>
      <c r="E13" s="12"/>
    </row>
    <row r="14" spans="1:18" x14ac:dyDescent="0.2">
      <c r="A14" s="12"/>
      <c r="B14" s="12"/>
      <c r="C14" s="12"/>
      <c r="D14" s="12"/>
      <c r="E14" s="12"/>
    </row>
    <row r="15" spans="1:18" x14ac:dyDescent="0.2">
      <c r="A15" s="18" t="s">
        <v>18</v>
      </c>
      <c r="B15" s="12"/>
      <c r="C15" s="19">
        <f ca="1">(C7+C11)+(C8+C12)*INT(MAX(F21:F3516))</f>
        <v>59630.203573567589</v>
      </c>
      <c r="D15" s="20" t="s">
        <v>34</v>
      </c>
      <c r="E15" s="21">
        <f ca="1">TODAY()+15018.5-B9/24</f>
        <v>60355.5</v>
      </c>
    </row>
    <row r="16" spans="1:18" x14ac:dyDescent="0.2">
      <c r="A16" s="22" t="s">
        <v>4</v>
      </c>
      <c r="B16" s="12"/>
      <c r="C16" s="23">
        <f ca="1">+C8+C12</f>
        <v>2.5164190959974655</v>
      </c>
      <c r="D16" s="20" t="s">
        <v>35</v>
      </c>
      <c r="E16" s="21">
        <f ca="1">ROUND(2*(E15-C15)/C16,0)/2+1</f>
        <v>289</v>
      </c>
    </row>
    <row r="17" spans="1:18" ht="13.5" thickBot="1" x14ac:dyDescent="0.25">
      <c r="A17" s="20" t="s">
        <v>30</v>
      </c>
      <c r="B17" s="12"/>
      <c r="C17" s="12">
        <f>COUNT(C21:C2174)</f>
        <v>7</v>
      </c>
      <c r="D17" s="20" t="s">
        <v>36</v>
      </c>
      <c r="E17" s="24">
        <f ca="1">+C15+C16*E16-15018.5-C9/24</f>
        <v>45342.844525644192</v>
      </c>
    </row>
    <row r="18" spans="1:18" x14ac:dyDescent="0.2">
      <c r="A18" s="22" t="s">
        <v>5</v>
      </c>
      <c r="B18" s="12"/>
      <c r="C18" s="25">
        <f ca="1">+C15</f>
        <v>59630.203573567589</v>
      </c>
      <c r="D18" s="26">
        <f ca="1">+C16</f>
        <v>2.5164190959974655</v>
      </c>
      <c r="E18" s="27" t="s">
        <v>37</v>
      </c>
    </row>
    <row r="19" spans="1:18" ht="13.5" thickTop="1" x14ac:dyDescent="0.2">
      <c r="A19" s="28" t="s">
        <v>38</v>
      </c>
      <c r="E19" s="29">
        <v>21</v>
      </c>
    </row>
    <row r="20" spans="1:18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45</v>
      </c>
      <c r="J20" s="8" t="s">
        <v>47</v>
      </c>
      <c r="K20" s="8" t="s">
        <v>25</v>
      </c>
      <c r="L20" s="8" t="s">
        <v>26</v>
      </c>
      <c r="M20" s="8" t="s">
        <v>27</v>
      </c>
      <c r="N20" s="8" t="s">
        <v>28</v>
      </c>
      <c r="O20" s="8" t="s">
        <v>23</v>
      </c>
      <c r="P20" s="7" t="s">
        <v>22</v>
      </c>
      <c r="Q20" s="5" t="s">
        <v>15</v>
      </c>
    </row>
    <row r="21" spans="1:18" x14ac:dyDescent="0.2">
      <c r="A21" t="s">
        <v>12</v>
      </c>
      <c r="C21" s="10">
        <v>27120.55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3.5272376329887112E-2</v>
      </c>
      <c r="Q21" s="2">
        <f>+C21-15018.5</f>
        <v>12102.05</v>
      </c>
    </row>
    <row r="22" spans="1:18" x14ac:dyDescent="0.2">
      <c r="A22" s="30" t="s">
        <v>39</v>
      </c>
      <c r="B22" s="31" t="s">
        <v>40</v>
      </c>
      <c r="C22" s="32">
        <v>53404.654300000002</v>
      </c>
      <c r="D22" s="32">
        <v>8.9999999999999998E-4</v>
      </c>
      <c r="E22">
        <f>+(C22-C$7)/C$8</f>
        <v>10444.95569137353</v>
      </c>
      <c r="F22">
        <f>ROUND(2*E22,0)/2</f>
        <v>10445</v>
      </c>
      <c r="G22">
        <f>+C22-(C$7+F22*C$8)</f>
        <v>-0.11149999999179272</v>
      </c>
      <c r="J22">
        <f>+G22</f>
        <v>-0.11149999999179272</v>
      </c>
      <c r="O22">
        <f ca="1">+C$11+C$12*$F22</f>
        <v>-0.18306993013968001</v>
      </c>
      <c r="Q22" s="2">
        <f>+C22-15018.5</f>
        <v>38386.154300000002</v>
      </c>
    </row>
    <row r="23" spans="1:18" x14ac:dyDescent="0.2">
      <c r="A23" s="30" t="s">
        <v>39</v>
      </c>
      <c r="B23" s="31" t="s">
        <v>40</v>
      </c>
      <c r="C23" s="32">
        <v>53409.679199999999</v>
      </c>
      <c r="D23" s="32">
        <v>4.0000000000000002E-4</v>
      </c>
      <c r="E23">
        <f>+(C23-C$7)/C$8</f>
        <v>10446.952520226989</v>
      </c>
      <c r="F23">
        <f>ROUND(2*E23,0)/2</f>
        <v>10447</v>
      </c>
      <c r="G23">
        <f>+C23-(C$7+F23*C$8)</f>
        <v>-0.11947999999392778</v>
      </c>
      <c r="J23">
        <f>+G23</f>
        <v>-0.11947999999392778</v>
      </c>
      <c r="O23">
        <f ca="1">+C$11+C$12*$F23</f>
        <v>-0.18311173814474838</v>
      </c>
      <c r="Q23" s="2">
        <f>+C23-15018.5</f>
        <v>38391.179199999999</v>
      </c>
    </row>
    <row r="24" spans="1:18" x14ac:dyDescent="0.2">
      <c r="A24" s="36" t="s">
        <v>41</v>
      </c>
      <c r="B24" s="37" t="s">
        <v>40</v>
      </c>
      <c r="C24" s="38">
        <v>55918.542000000001</v>
      </c>
      <c r="D24" s="38">
        <v>5.0000000000000001E-3</v>
      </c>
      <c r="E24">
        <f>+(C24-C$7)/C$8</f>
        <v>11443.941441083438</v>
      </c>
      <c r="F24">
        <f>ROUND(2*E24,0)/2</f>
        <v>11444</v>
      </c>
      <c r="G24">
        <f>+C24-(C$7+F24*C$8)</f>
        <v>-0.14735999999538762</v>
      </c>
      <c r="I24">
        <f>+G24</f>
        <v>-0.14735999999538762</v>
      </c>
      <c r="O24">
        <f ca="1">+C$11+C$12*$F24</f>
        <v>-0.20395302867133128</v>
      </c>
      <c r="Q24" s="2">
        <f>+C24-15018.5</f>
        <v>40900.042000000001</v>
      </c>
      <c r="R24" s="48" t="s">
        <v>53</v>
      </c>
    </row>
    <row r="25" spans="1:18" x14ac:dyDescent="0.2">
      <c r="A25" s="40" t="s">
        <v>42</v>
      </c>
      <c r="B25" s="41" t="s">
        <v>40</v>
      </c>
      <c r="C25" s="42">
        <v>57763.071199999998</v>
      </c>
      <c r="D25" s="43" t="s">
        <v>43</v>
      </c>
      <c r="E25">
        <f>+(C25-C$7)/C$8</f>
        <v>12176.932968797191</v>
      </c>
      <c r="F25">
        <f>ROUND(2*E25,0)/2</f>
        <v>12177</v>
      </c>
      <c r="G25">
        <f>+C25-(C$7+F25*C$8)</f>
        <v>-0.16867999999521999</v>
      </c>
      <c r="J25">
        <f>+G25</f>
        <v>-0.16867999999521999</v>
      </c>
      <c r="O25">
        <f ca="1">+C$11+C$12*$F25</f>
        <v>-0.21927566252888925</v>
      </c>
      <c r="Q25" s="2">
        <f>+C25-15018.5</f>
        <v>42744.571199999998</v>
      </c>
    </row>
    <row r="26" spans="1:18" x14ac:dyDescent="0.2">
      <c r="A26" s="44" t="s">
        <v>51</v>
      </c>
      <c r="B26" s="45" t="s">
        <v>40</v>
      </c>
      <c r="C26" s="46">
        <v>59600.032000000123</v>
      </c>
      <c r="D26" s="10"/>
      <c r="E26">
        <f t="shared" ref="E26:E27" si="0">+(C26-C$7)/C$8</f>
        <v>12906.916914371146</v>
      </c>
      <c r="F26">
        <f t="shared" ref="F26:F27" si="1">ROUND(2*E26,0)/2</f>
        <v>12907</v>
      </c>
      <c r="G26">
        <f t="shared" ref="G26:G27" si="2">+C26-(C$7+F26*C$8)</f>
        <v>-0.20907999986957293</v>
      </c>
      <c r="J26">
        <f>+G26</f>
        <v>-0.20907999986957293</v>
      </c>
      <c r="O26">
        <f t="shared" ref="O26:O27" ca="1" si="3">+C$11+C$12*$F26</f>
        <v>-0.23453558437884459</v>
      </c>
      <c r="Q26" s="2">
        <f t="shared" ref="Q26:Q27" si="4">+C26-15018.5</f>
        <v>44581.532000000123</v>
      </c>
    </row>
    <row r="27" spans="1:18" x14ac:dyDescent="0.2">
      <c r="A27" s="44" t="s">
        <v>51</v>
      </c>
      <c r="B27" s="45" t="s">
        <v>52</v>
      </c>
      <c r="C27" s="46">
        <v>59629.970999999903</v>
      </c>
      <c r="D27" s="10"/>
      <c r="E27">
        <f t="shared" si="0"/>
        <v>12918.814277312356</v>
      </c>
      <c r="F27">
        <f t="shared" si="1"/>
        <v>12919</v>
      </c>
      <c r="G27">
        <f t="shared" si="2"/>
        <v>-0.46736000009695999</v>
      </c>
      <c r="J27">
        <f>+G27</f>
        <v>-0.46736000009695999</v>
      </c>
      <c r="O27">
        <f t="shared" ca="1" si="3"/>
        <v>-0.23478643240925484</v>
      </c>
      <c r="Q27" s="2">
        <f t="shared" si="4"/>
        <v>44611.470999999903</v>
      </c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395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3">
      <c r="A1" s="1" t="s">
        <v>31</v>
      </c>
    </row>
    <row r="2" spans="1:18" x14ac:dyDescent="0.2">
      <c r="A2" t="s">
        <v>24</v>
      </c>
      <c r="B2" s="9" t="s">
        <v>29</v>
      </c>
    </row>
    <row r="3" spans="1:18" x14ac:dyDescent="0.2">
      <c r="R3">
        <f>C23-C22</f>
        <v>5.0248999999967054</v>
      </c>
    </row>
    <row r="4" spans="1:18" ht="14.25" thickTop="1" thickBot="1" x14ac:dyDescent="0.25">
      <c r="A4" s="6" t="s">
        <v>0</v>
      </c>
      <c r="C4" s="3">
        <v>27120.55</v>
      </c>
      <c r="D4" s="4">
        <v>2.5164399999999998</v>
      </c>
      <c r="R4">
        <f>R3/2</f>
        <v>2.5124499999983527</v>
      </c>
    </row>
    <row r="5" spans="1:18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18" x14ac:dyDescent="0.2">
      <c r="A6" s="6" t="s">
        <v>1</v>
      </c>
    </row>
    <row r="7" spans="1:18" x14ac:dyDescent="0.2">
      <c r="A7" t="s">
        <v>2</v>
      </c>
      <c r="C7">
        <f>+C4</f>
        <v>27120.55</v>
      </c>
    </row>
    <row r="8" spans="1:18" x14ac:dyDescent="0.2">
      <c r="A8" t="s">
        <v>3</v>
      </c>
      <c r="C8">
        <v>2.5124499999983527</v>
      </c>
    </row>
    <row r="9" spans="1:18" x14ac:dyDescent="0.2">
      <c r="A9" s="28" t="s">
        <v>38</v>
      </c>
      <c r="B9" s="29">
        <v>22</v>
      </c>
      <c r="C9" s="16" t="str">
        <f>"F"&amp;B9</f>
        <v>F22</v>
      </c>
      <c r="D9" s="17" t="str">
        <f>"G"&amp;B9</f>
        <v>G22</v>
      </c>
    </row>
    <row r="10" spans="1:18" ht="13.5" thickBot="1" x14ac:dyDescent="0.25">
      <c r="A10" s="12"/>
      <c r="B10" s="12"/>
      <c r="C10" s="5" t="s">
        <v>20</v>
      </c>
      <c r="D10" s="5" t="s">
        <v>21</v>
      </c>
      <c r="E10" s="12"/>
    </row>
    <row r="11" spans="1:18" x14ac:dyDescent="0.2">
      <c r="A11" s="12" t="s">
        <v>16</v>
      </c>
      <c r="B11" s="12"/>
      <c r="C11" s="14">
        <f ca="1">INTERCEPT(INDIRECT($D$9):G975,INDIRECT($C$9):F975)</f>
        <v>3.6813300323255618</v>
      </c>
      <c r="D11" s="15"/>
      <c r="E11" s="12"/>
    </row>
    <row r="12" spans="1:18" x14ac:dyDescent="0.2">
      <c r="A12" s="12" t="s">
        <v>17</v>
      </c>
      <c r="B12" s="12"/>
      <c r="C12" s="14">
        <f ca="1">SLOPE(INDIRECT($D$9):G975,INDIRECT($C$9):F975)</f>
        <v>-2.1661031374974374E-4</v>
      </c>
      <c r="D12" s="15"/>
      <c r="E12" s="12"/>
    </row>
    <row r="13" spans="1:18" x14ac:dyDescent="0.2">
      <c r="A13" s="12" t="s">
        <v>19</v>
      </c>
      <c r="B13" s="12"/>
      <c r="C13" s="15" t="s">
        <v>14</v>
      </c>
    </row>
    <row r="14" spans="1:18" x14ac:dyDescent="0.2">
      <c r="A14" s="12"/>
      <c r="B14" s="12"/>
      <c r="C14" s="12"/>
    </row>
    <row r="15" spans="1:18" x14ac:dyDescent="0.2">
      <c r="A15" s="18" t="s">
        <v>18</v>
      </c>
      <c r="B15" s="12"/>
      <c r="C15" s="19">
        <f ca="1">(C7+C11)+(C8+C12)*INT(MAX(F21:F3516))</f>
        <v>59630.019159161398</v>
      </c>
      <c r="E15" s="15"/>
      <c r="F15" s="12"/>
    </row>
    <row r="16" spans="1:18" x14ac:dyDescent="0.2">
      <c r="A16" s="22" t="s">
        <v>4</v>
      </c>
      <c r="B16" s="12"/>
      <c r="C16" s="23">
        <f ca="1">+C8+C12</f>
        <v>2.512233389684603</v>
      </c>
      <c r="E16" s="12"/>
      <c r="F16" s="12"/>
    </row>
    <row r="17" spans="1:18" ht="13.5" thickBot="1" x14ac:dyDescent="0.25">
      <c r="A17" s="20" t="s">
        <v>30</v>
      </c>
      <c r="B17" s="12"/>
      <c r="C17" s="12">
        <f>COUNT(C21:C2174)</f>
        <v>7</v>
      </c>
      <c r="E17" s="20" t="s">
        <v>34</v>
      </c>
      <c r="F17" s="21">
        <f ca="1">TODAY()+15018.5-B5/24</f>
        <v>60355.5</v>
      </c>
    </row>
    <row r="18" spans="1:18" ht="14.25" thickTop="1" thickBot="1" x14ac:dyDescent="0.25">
      <c r="A18" s="22" t="s">
        <v>5</v>
      </c>
      <c r="B18" s="12"/>
      <c r="C18" s="25">
        <f ca="1">+C15</f>
        <v>59630.019159161398</v>
      </c>
      <c r="D18" s="26">
        <f ca="1">+C16</f>
        <v>2.512233389684603</v>
      </c>
      <c r="E18" s="20" t="s">
        <v>35</v>
      </c>
      <c r="F18" s="21">
        <f ca="1">ROUND(2*(F17-C15)/C16,0)/2+1</f>
        <v>290</v>
      </c>
    </row>
    <row r="19" spans="1:18" ht="13.5" thickTop="1" x14ac:dyDescent="0.2">
      <c r="E19" s="20" t="s">
        <v>36</v>
      </c>
      <c r="F19" s="24">
        <f ca="1">+C15+C16*F18-15018.5-C5/24</f>
        <v>45340.462675503266</v>
      </c>
    </row>
    <row r="20" spans="1:18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44</v>
      </c>
      <c r="I20" s="8" t="s">
        <v>45</v>
      </c>
      <c r="J20" s="8" t="s">
        <v>46</v>
      </c>
      <c r="K20" s="8" t="s">
        <v>47</v>
      </c>
      <c r="L20" s="8" t="s">
        <v>48</v>
      </c>
      <c r="M20" s="8" t="s">
        <v>49</v>
      </c>
      <c r="N20" s="8" t="s">
        <v>50</v>
      </c>
      <c r="O20" s="8" t="s">
        <v>23</v>
      </c>
      <c r="P20" s="7" t="s">
        <v>22</v>
      </c>
      <c r="Q20" s="5" t="s">
        <v>15</v>
      </c>
    </row>
    <row r="21" spans="1:18" x14ac:dyDescent="0.2">
      <c r="A21" t="s">
        <v>12</v>
      </c>
      <c r="C21" s="10">
        <v>27120.55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3.6813300323255618</v>
      </c>
      <c r="Q21" s="2">
        <f>+C21-15018.5</f>
        <v>12102.05</v>
      </c>
    </row>
    <row r="22" spans="1:18" x14ac:dyDescent="0.2">
      <c r="A22" s="34" t="s">
        <v>39</v>
      </c>
      <c r="B22" s="33" t="s">
        <v>40</v>
      </c>
      <c r="C22" s="35">
        <v>53404.654300000002</v>
      </c>
      <c r="D22" s="35">
        <v>8.9999999999999998E-4</v>
      </c>
      <c r="E22">
        <f>+(C22-C$7)/C$8</f>
        <v>10461.543234698098</v>
      </c>
      <c r="F22" s="39">
        <f>ROUND(2*E22,0)/2-0.5</f>
        <v>10461</v>
      </c>
      <c r="G22">
        <f>+C22-(C$7+F22*C$8)</f>
        <v>1.3648500172348577</v>
      </c>
      <c r="K22">
        <f>+G22</f>
        <v>1.3648500172348577</v>
      </c>
      <c r="O22">
        <f ca="1">+C$11+C$12*$F22</f>
        <v>1.4153695401894923</v>
      </c>
      <c r="Q22" s="2">
        <f>+C22-15018.5</f>
        <v>38386.154300000002</v>
      </c>
    </row>
    <row r="23" spans="1:18" x14ac:dyDescent="0.2">
      <c r="A23" s="34" t="s">
        <v>39</v>
      </c>
      <c r="B23" s="33" t="s">
        <v>40</v>
      </c>
      <c r="C23" s="35">
        <v>53409.679199999999</v>
      </c>
      <c r="D23" s="35">
        <v>4.0000000000000002E-4</v>
      </c>
      <c r="E23">
        <f>+(C23-C$7)/C$8</f>
        <v>10463.543234698098</v>
      </c>
      <c r="F23" s="39">
        <f>ROUND(2*E23,0)/2-0.5</f>
        <v>10463</v>
      </c>
      <c r="G23">
        <f>+C23-(C$7+F23*C$8)</f>
        <v>1.3648500172348577</v>
      </c>
      <c r="K23">
        <f>+G23</f>
        <v>1.3648500172348577</v>
      </c>
      <c r="O23">
        <f ca="1">+C$11+C$12*$F23</f>
        <v>1.4149363195619928</v>
      </c>
      <c r="Q23" s="2">
        <f>+C23-15018.5</f>
        <v>38391.179199999999</v>
      </c>
    </row>
    <row r="24" spans="1:18" x14ac:dyDescent="0.2">
      <c r="A24" s="36" t="s">
        <v>41</v>
      </c>
      <c r="B24" s="37" t="s">
        <v>40</v>
      </c>
      <c r="C24" s="38">
        <v>55918.542000000001</v>
      </c>
      <c r="D24" s="38">
        <v>5.0000000000000001E-3</v>
      </c>
      <c r="E24">
        <f>+(C24-C$7)/C$8</f>
        <v>11462.115464991894</v>
      </c>
      <c r="F24" s="39">
        <f>ROUND(2*E24,0)/2-0.5</f>
        <v>11461.5</v>
      </c>
      <c r="G24">
        <f>+C24-(C$7+F24*C$8)</f>
        <v>1.5463250188768143</v>
      </c>
      <c r="I24">
        <f>+G24</f>
        <v>1.5463250188768143</v>
      </c>
      <c r="O24">
        <f ca="1">+C$11+C$12*$F24</f>
        <v>1.1986509212828738</v>
      </c>
      <c r="Q24" s="2">
        <f>+C24-15018.5</f>
        <v>40900.042000000001</v>
      </c>
      <c r="R24" s="48" t="s">
        <v>53</v>
      </c>
    </row>
    <row r="25" spans="1:18" x14ac:dyDescent="0.2">
      <c r="A25" s="40" t="s">
        <v>42</v>
      </c>
      <c r="B25" s="41" t="s">
        <v>40</v>
      </c>
      <c r="C25" s="42">
        <v>57763.071199999998</v>
      </c>
      <c r="D25" s="43" t="s">
        <v>43</v>
      </c>
      <c r="E25">
        <f>+(C25-C$7)/C$8</f>
        <v>12196.271050178149</v>
      </c>
      <c r="F25" s="39">
        <f>ROUND(2*E25,0)/2-0.5</f>
        <v>12196</v>
      </c>
      <c r="G25">
        <f>+C25-(C$7+F25*C$8)</f>
        <v>0.68100002008577576</v>
      </c>
      <c r="K25">
        <f>+G25</f>
        <v>0.68100002008577576</v>
      </c>
      <c r="O25">
        <f ca="1">+C$11+C$12*$F25</f>
        <v>1.0395506458336872</v>
      </c>
      <c r="Q25" s="2">
        <f>+C25-15018.5</f>
        <v>42744.571199999998</v>
      </c>
    </row>
    <row r="26" spans="1:18" x14ac:dyDescent="0.2">
      <c r="A26" s="44" t="s">
        <v>51</v>
      </c>
      <c r="B26" s="45" t="s">
        <v>40</v>
      </c>
      <c r="C26" s="46">
        <v>59600.032000000123</v>
      </c>
      <c r="D26" s="10"/>
      <c r="E26">
        <f t="shared" ref="E26:E27" si="0">+(C26-C$7)/C$8</f>
        <v>12927.414276909558</v>
      </c>
      <c r="F26" s="47">
        <f t="shared" ref="F26:F27" si="1">ROUND(2*E26,0)/2-0.5</f>
        <v>12927</v>
      </c>
      <c r="G26">
        <f t="shared" ref="G26:G27" si="2">+C26-(C$7+F26*C$8)</f>
        <v>1.0408500214180094</v>
      </c>
      <c r="K26">
        <f t="shared" ref="K26:K27" si="3">+G26</f>
        <v>1.0408500214180094</v>
      </c>
      <c r="O26">
        <f t="shared" ref="O26:O27" ca="1" si="4">+C$11+C$12*$F26</f>
        <v>0.88120850648262428</v>
      </c>
      <c r="Q26" s="2">
        <f t="shared" ref="Q26:Q27" si="5">+C26-15018.5</f>
        <v>44581.532000000123</v>
      </c>
    </row>
    <row r="27" spans="1:18" x14ac:dyDescent="0.2">
      <c r="A27" s="44" t="s">
        <v>51</v>
      </c>
      <c r="B27" s="45" t="s">
        <v>52</v>
      </c>
      <c r="C27" s="46">
        <v>59629.970999999903</v>
      </c>
      <c r="D27" s="10"/>
      <c r="E27">
        <f t="shared" si="0"/>
        <v>12939.33053394942</v>
      </c>
      <c r="F27" s="47">
        <f t="shared" si="1"/>
        <v>12939</v>
      </c>
      <c r="G27">
        <f t="shared" si="2"/>
        <v>0.83045002121798461</v>
      </c>
      <c r="K27">
        <f t="shared" si="3"/>
        <v>0.83045002121798461</v>
      </c>
      <c r="O27">
        <f t="shared" ca="1" si="4"/>
        <v>0.87860918271762767</v>
      </c>
      <c r="Q27" s="2">
        <f t="shared" si="5"/>
        <v>44611.470999999903</v>
      </c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2024-02-15T05:04:50Z</dcterms:modified>
</cp:coreProperties>
</file>