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34AFF97-708F-44A1-A689-6A4D426CED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I31" i="1" s="1"/>
  <c r="Q31" i="1"/>
  <c r="D9" i="1"/>
  <c r="C9" i="1"/>
  <c r="Q21" i="1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19" i="2"/>
  <c r="C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H11" i="2"/>
  <c r="B11" i="2"/>
  <c r="D11" i="2"/>
  <c r="A11" i="2"/>
  <c r="H19" i="2"/>
  <c r="B19" i="2"/>
  <c r="D19" i="2"/>
  <c r="A19" i="2"/>
  <c r="Q22" i="1"/>
  <c r="Q23" i="1"/>
  <c r="Q24" i="1"/>
  <c r="Q25" i="1"/>
  <c r="Q27" i="1"/>
  <c r="Q28" i="1"/>
  <c r="Q29" i="1"/>
  <c r="Q30" i="1"/>
  <c r="F16" i="1"/>
  <c r="F17" i="1" s="1"/>
  <c r="C17" i="1"/>
  <c r="C7" i="1"/>
  <c r="E21" i="1"/>
  <c r="F21" i="1"/>
  <c r="C8" i="1"/>
  <c r="Q26" i="1"/>
  <c r="E19" i="2"/>
  <c r="E14" i="2"/>
  <c r="E12" i="2"/>
  <c r="E23" i="1"/>
  <c r="F23" i="1"/>
  <c r="E28" i="1"/>
  <c r="E30" i="1"/>
  <c r="F30" i="1"/>
  <c r="G30" i="1"/>
  <c r="H30" i="1"/>
  <c r="E22" i="1"/>
  <c r="E27" i="1"/>
  <c r="F27" i="1"/>
  <c r="G27" i="1"/>
  <c r="H27" i="1"/>
  <c r="G26" i="1"/>
  <c r="H26" i="1"/>
  <c r="E24" i="1"/>
  <c r="F24" i="1"/>
  <c r="G24" i="1"/>
  <c r="H24" i="1"/>
  <c r="G21" i="1"/>
  <c r="E25" i="1"/>
  <c r="F25" i="1"/>
  <c r="G25" i="1"/>
  <c r="H25" i="1"/>
  <c r="E29" i="1"/>
  <c r="F29" i="1"/>
  <c r="G29" i="1"/>
  <c r="H29" i="1"/>
  <c r="G23" i="1"/>
  <c r="H23" i="1"/>
  <c r="E26" i="1"/>
  <c r="F26" i="1"/>
  <c r="N21" i="1"/>
  <c r="E15" i="2"/>
  <c r="E16" i="2"/>
  <c r="F28" i="1"/>
  <c r="G28" i="1"/>
  <c r="H28" i="1"/>
  <c r="E13" i="2"/>
  <c r="E18" i="2"/>
  <c r="E17" i="2"/>
  <c r="F22" i="1"/>
  <c r="G22" i="1"/>
  <c r="E11" i="2"/>
  <c r="H22" i="1"/>
  <c r="C12" i="1"/>
  <c r="C11" i="1"/>
  <c r="O31" i="1" l="1"/>
  <c r="O24" i="1"/>
  <c r="O23" i="1"/>
  <c r="O29" i="1"/>
  <c r="C15" i="1"/>
  <c r="O22" i="1"/>
  <c r="O27" i="1"/>
  <c r="O26" i="1"/>
  <c r="O28" i="1"/>
  <c r="O30" i="1"/>
  <c r="O21" i="1"/>
  <c r="O2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<sst xmlns="http://schemas.openxmlformats.org/spreadsheetml/2006/main" count="148" uniqueCount="90">
  <si>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</si>
  <si>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</si>
  <si>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</si>
  <si>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</si>
  <si>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</si>
  <si>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</si>
  <si>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</si>
  <si>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</si>
  <si>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</si>
  <si>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</si>
  <si>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</si>
  <si>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</si>
  <si>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</si>
  <si>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</si>
  <si>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</si>
  <si>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</si>
  <si>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</si>
  <si>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</si>
  <si>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</si>
  <si>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</si>
  <si>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</si>
  <si>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</si>
  <si>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</si>
  <si>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</si>
  <si>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</si>
  <si>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</si>
  <si>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</si>
  <si>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</si>
  <si>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</si>
  <si>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</si>
  <si>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</si>
  <si>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</si>
  <si>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</si>
  <si>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</si>
  <si>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</si>
  <si>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</si>
  <si>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EA</t>
  </si>
  <si>
    <t>IBVS 5699 Eph.</t>
  </si>
  <si>
    <t>IBVS 5699</t>
  </si>
  <si>
    <t>Add cycle</t>
  </si>
  <si>
    <t>Old Cycle</t>
  </si>
  <si>
    <t>IBVS 6007</t>
  </si>
  <si>
    <t>II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</si>
  <si>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</si>
  <si>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</si>
  <si>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</si>
  <si>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</si>
  <si>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</si>
  <si>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</si>
  <si>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</si>
  <si>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</si>
  <si>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</si>
  <si>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</si>
  <si>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</si>
  <si>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</si>
  <si>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2433357.269 </t>
  </si>
  <si>
    <t> 16.03.1950 18:27 </t>
  </si>
  <si>
    <t> -6.126 </t>
  </si>
  <si>
    <t>P </t>
  </si>
  <si>
    <t> C.Hoffmeister </t>
  </si>
  <si>
    <t> AN 247.281 </t>
  </si>
  <si>
    <t>2452070.15039 </t>
  </si>
  <si>
    <t> 09.06.2001 15:36 </t>
  </si>
  <si>
    <t> -0.00301 </t>
  </si>
  <si>
    <t>C </t>
  </si>
  <si>
    <t> P.Zasche </t>
  </si>
  <si>
    <t>IBVS 6007 </t>
  </si>
  <si>
    <t>2452071.68718 </t>
  </si>
  <si>
    <t> 11.06.2001 04:29 </t>
  </si>
  <si>
    <t> -0.00246 </t>
  </si>
  <si>
    <t>2452816.76765 </t>
  </si>
  <si>
    <t> 26.06.2003 06:25 </t>
  </si>
  <si>
    <t> 0.00306 </t>
  </si>
  <si>
    <t>2452818.30357 </t>
  </si>
  <si>
    <t> 27.06.2003 19:17 </t>
  </si>
  <si>
    <t> 0.00275 </t>
  </si>
  <si>
    <t>2453594.09677 </t>
  </si>
  <si>
    <t> 11.08.2005 14:19 </t>
  </si>
  <si>
    <t> -0.00374 </t>
  </si>
  <si>
    <t>2453595.63795 </t>
  </si>
  <si>
    <t> 13.08.2005 03:18 </t>
  </si>
  <si>
    <t> 0.00121 </t>
  </si>
  <si>
    <t>2454629.52233 </t>
  </si>
  <si>
    <t> 12.06.2008 00:32 </t>
  </si>
  <si>
    <t> -0.00192 </t>
  </si>
  <si>
    <t>2454631.06000 </t>
  </si>
  <si>
    <t> 13.06.2008 13:26 </t>
  </si>
  <si>
    <t> -0.00048 </t>
  </si>
  <si>
    <t>KY Hya / GSC 6033-0212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</si>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</sst>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4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0" xfId="0" applyFont="1">
      <alignment vertical="top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8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8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4" fontId="19" fillId="0" borderId="0" xfId="1" applyFont="1" applyBorder="1"/>
    <xf numFmtId="165" fontId="19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4" fontId="19" fillId="0" borderId="0" xfId="1" applyFont="1" applyBorder="1" applyAlignment="1">
      <alignment horizontal="center"/>
    </xf>
  </cellXfs>
  <cellStyles count="10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yperlink" xfId="8" builtinId="8"/>
    <cellStyle name="Normal" xfId="0" builtinId="0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KY Hya - O-C Diagr.</a:t>
            </a:r>
          </a:p>
        </c:rich>
      </c:tx>
      <c:layout>
        <c:manualLayout>
          <c:xMode val="edge"/>
          <c:yMode val="edge"/>
          <c:x val="0.3949930458970792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0959666203059"/>
          <c:y val="0.14035127795846455"/>
          <c:w val="0.8233657858136300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1.23E-2</c:v>
                  </c:pt>
                  <c:pt idx="2">
                    <c:v>7.2199999999999999E-3</c:v>
                  </c:pt>
                  <c:pt idx="3">
                    <c:v>1.32E-3</c:v>
                  </c:pt>
                  <c:pt idx="4">
                    <c:v>8.0999999999999996E-4</c:v>
                  </c:pt>
                  <c:pt idx="5">
                    <c:v>0</c:v>
                  </c:pt>
                  <c:pt idx="6">
                    <c:v>2.6700000000000001E-3</c:v>
                  </c:pt>
                  <c:pt idx="7">
                    <c:v>2.4299999999999999E-3</c:v>
                  </c:pt>
                  <c:pt idx="8">
                    <c:v>7.6800000000000002E-3</c:v>
                  </c:pt>
                  <c:pt idx="9">
                    <c:v>1.57E-3</c:v>
                  </c:pt>
                  <c:pt idx="10">
                    <c:v>4.0000000000000001E-3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1.23E-2</c:v>
                  </c:pt>
                  <c:pt idx="2">
                    <c:v>7.2199999999999999E-3</c:v>
                  </c:pt>
                  <c:pt idx="3">
                    <c:v>1.32E-3</c:v>
                  </c:pt>
                  <c:pt idx="4">
                    <c:v>8.0999999999999996E-4</c:v>
                  </c:pt>
                  <c:pt idx="5">
                    <c:v>0</c:v>
                  </c:pt>
                  <c:pt idx="6">
                    <c:v>2.6700000000000001E-3</c:v>
                  </c:pt>
                  <c:pt idx="7">
                    <c:v>2.4299999999999999E-3</c:v>
                  </c:pt>
                  <c:pt idx="8">
                    <c:v>7.6800000000000002E-3</c:v>
                  </c:pt>
                  <c:pt idx="9">
                    <c:v>1.57E-3</c:v>
                  </c:pt>
                  <c:pt idx="10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-6434</c:v>
                </c:pt>
                <c:pt idx="1">
                  <c:v>-343.5</c:v>
                </c:pt>
                <c:pt idx="2">
                  <c:v>-343</c:v>
                </c:pt>
                <c:pt idx="3">
                  <c:v>-100.5</c:v>
                </c:pt>
                <c:pt idx="4">
                  <c:v>-100</c:v>
                </c:pt>
                <c:pt idx="5">
                  <c:v>0</c:v>
                </c:pt>
                <c:pt idx="6">
                  <c:v>152.5</c:v>
                </c:pt>
                <c:pt idx="7">
                  <c:v>153</c:v>
                </c:pt>
                <c:pt idx="8">
                  <c:v>489.5</c:v>
                </c:pt>
                <c:pt idx="9">
                  <c:v>490</c:v>
                </c:pt>
                <c:pt idx="10">
                  <c:v>2248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-6.0389999925973825E-3</c:v>
                </c:pt>
                <c:pt idx="2">
                  <c:v>-5.4819999932078645E-3</c:v>
                </c:pt>
                <c:pt idx="3">
                  <c:v>1.9830000019283034E-3</c:v>
                </c:pt>
                <c:pt idx="4">
                  <c:v>1.6699999978300184E-3</c:v>
                </c:pt>
                <c:pt idx="5">
                  <c:v>0</c:v>
                </c:pt>
                <c:pt idx="6">
                  <c:v>-2.7950000003329478E-3</c:v>
                </c:pt>
                <c:pt idx="7">
                  <c:v>2.1520000009331852E-3</c:v>
                </c:pt>
                <c:pt idx="8">
                  <c:v>1.7230000012204982E-3</c:v>
                </c:pt>
                <c:pt idx="9">
                  <c:v>3.1600000002072193E-3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208-4C5B-A05B-F00742F444F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  <c:pt idx="2">
                    <c:v>7.2199999999999999E-3</c:v>
                  </c:pt>
                  <c:pt idx="3">
                    <c:v>1.32E-3</c:v>
                  </c:pt>
                  <c:pt idx="4">
                    <c:v>8.0999999999999996E-4</c:v>
                  </c:pt>
                  <c:pt idx="5">
                    <c:v>0</c:v>
                  </c:pt>
                  <c:pt idx="6">
                    <c:v>2.6700000000000001E-3</c:v>
                  </c:pt>
                  <c:pt idx="7">
                    <c:v>2.4299999999999999E-3</c:v>
                  </c:pt>
                  <c:pt idx="8">
                    <c:v>7.6800000000000002E-3</c:v>
                  </c:pt>
                  <c:pt idx="9">
                    <c:v>1.57E-3</c:v>
                  </c:pt>
                  <c:pt idx="10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  <c:pt idx="2">
                    <c:v>7.2199999999999999E-3</c:v>
                  </c:pt>
                  <c:pt idx="3">
                    <c:v>1.32E-3</c:v>
                  </c:pt>
                  <c:pt idx="4">
                    <c:v>8.0999999999999996E-4</c:v>
                  </c:pt>
                  <c:pt idx="5">
                    <c:v>0</c:v>
                  </c:pt>
                  <c:pt idx="6">
                    <c:v>2.6700000000000001E-3</c:v>
                  </c:pt>
                  <c:pt idx="7">
                    <c:v>2.4299999999999999E-3</c:v>
                  </c:pt>
                  <c:pt idx="8">
                    <c:v>7.6800000000000002E-3</c:v>
                  </c:pt>
                  <c:pt idx="9">
                    <c:v>1.57E-3</c:v>
                  </c:pt>
                  <c:pt idx="10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-6434</c:v>
                </c:pt>
                <c:pt idx="1">
                  <c:v>-343.5</c:v>
                </c:pt>
                <c:pt idx="2">
                  <c:v>-343</c:v>
                </c:pt>
                <c:pt idx="3">
                  <c:v>-100.5</c:v>
                </c:pt>
                <c:pt idx="4">
                  <c:v>-100</c:v>
                </c:pt>
                <c:pt idx="5">
                  <c:v>0</c:v>
                </c:pt>
                <c:pt idx="6">
                  <c:v>152.5</c:v>
                </c:pt>
                <c:pt idx="7">
                  <c:v>153</c:v>
                </c:pt>
                <c:pt idx="8">
                  <c:v>489.5</c:v>
                </c:pt>
                <c:pt idx="9">
                  <c:v>490</c:v>
                </c:pt>
                <c:pt idx="10">
                  <c:v>2248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0">
                  <c:v>7.9319999640574679E-3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208-4C5B-A05B-F00742F444F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  <c:pt idx="2">
                    <c:v>7.2199999999999999E-3</c:v>
                  </c:pt>
                  <c:pt idx="3">
                    <c:v>1.32E-3</c:v>
                  </c:pt>
                  <c:pt idx="4">
                    <c:v>8.0999999999999996E-4</c:v>
                  </c:pt>
                  <c:pt idx="5">
                    <c:v>0</c:v>
                  </c:pt>
                  <c:pt idx="6">
                    <c:v>2.6700000000000001E-3</c:v>
                  </c:pt>
                  <c:pt idx="7">
                    <c:v>2.4299999999999999E-3</c:v>
                  </c:pt>
                  <c:pt idx="8">
                    <c:v>7.6800000000000002E-3</c:v>
                  </c:pt>
                  <c:pt idx="9">
                    <c:v>1.57E-3</c:v>
                  </c:pt>
                  <c:pt idx="10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  <c:pt idx="2">
                    <c:v>7.2199999999999999E-3</c:v>
                  </c:pt>
                  <c:pt idx="3">
                    <c:v>1.32E-3</c:v>
                  </c:pt>
                  <c:pt idx="4">
                    <c:v>8.0999999999999996E-4</c:v>
                  </c:pt>
                  <c:pt idx="5">
                    <c:v>0</c:v>
                  </c:pt>
                  <c:pt idx="6">
                    <c:v>2.6700000000000001E-3</c:v>
                  </c:pt>
                  <c:pt idx="7">
                    <c:v>2.4299999999999999E-3</c:v>
                  </c:pt>
                  <c:pt idx="8">
                    <c:v>7.6800000000000002E-3</c:v>
                  </c:pt>
                  <c:pt idx="9">
                    <c:v>1.57E-3</c:v>
                  </c:pt>
                  <c:pt idx="10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-6434</c:v>
                </c:pt>
                <c:pt idx="1">
                  <c:v>-343.5</c:v>
                </c:pt>
                <c:pt idx="2">
                  <c:v>-343</c:v>
                </c:pt>
                <c:pt idx="3">
                  <c:v>-100.5</c:v>
                </c:pt>
                <c:pt idx="4">
                  <c:v>-100</c:v>
                </c:pt>
                <c:pt idx="5">
                  <c:v>0</c:v>
                </c:pt>
                <c:pt idx="6">
                  <c:v>152.5</c:v>
                </c:pt>
                <c:pt idx="7">
                  <c:v>153</c:v>
                </c:pt>
                <c:pt idx="8">
                  <c:v>489.5</c:v>
                </c:pt>
                <c:pt idx="9">
                  <c:v>490</c:v>
                </c:pt>
                <c:pt idx="10">
                  <c:v>2248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208-4C5B-A05B-F00742F444F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  <c:pt idx="2">
                    <c:v>7.2199999999999999E-3</c:v>
                  </c:pt>
                  <c:pt idx="3">
                    <c:v>1.32E-3</c:v>
                  </c:pt>
                  <c:pt idx="4">
                    <c:v>8.0999999999999996E-4</c:v>
                  </c:pt>
                  <c:pt idx="5">
                    <c:v>0</c:v>
                  </c:pt>
                  <c:pt idx="6">
                    <c:v>2.6700000000000001E-3</c:v>
                  </c:pt>
                  <c:pt idx="7">
                    <c:v>2.4299999999999999E-3</c:v>
                  </c:pt>
                  <c:pt idx="8">
                    <c:v>7.6800000000000002E-3</c:v>
                  </c:pt>
                  <c:pt idx="9">
                    <c:v>1.57E-3</c:v>
                  </c:pt>
                  <c:pt idx="10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  <c:pt idx="2">
                    <c:v>7.2199999999999999E-3</c:v>
                  </c:pt>
                  <c:pt idx="3">
                    <c:v>1.32E-3</c:v>
                  </c:pt>
                  <c:pt idx="4">
                    <c:v>8.0999999999999996E-4</c:v>
                  </c:pt>
                  <c:pt idx="5">
                    <c:v>0</c:v>
                  </c:pt>
                  <c:pt idx="6">
                    <c:v>2.6700000000000001E-3</c:v>
                  </c:pt>
                  <c:pt idx="7">
                    <c:v>2.4299999999999999E-3</c:v>
                  </c:pt>
                  <c:pt idx="8">
                    <c:v>7.6800000000000002E-3</c:v>
                  </c:pt>
                  <c:pt idx="9">
                    <c:v>1.57E-3</c:v>
                  </c:pt>
                  <c:pt idx="10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-6434</c:v>
                </c:pt>
                <c:pt idx="1">
                  <c:v>-343.5</c:v>
                </c:pt>
                <c:pt idx="2">
                  <c:v>-343</c:v>
                </c:pt>
                <c:pt idx="3">
                  <c:v>-100.5</c:v>
                </c:pt>
                <c:pt idx="4">
                  <c:v>-100</c:v>
                </c:pt>
                <c:pt idx="5">
                  <c:v>0</c:v>
                </c:pt>
                <c:pt idx="6">
                  <c:v>152.5</c:v>
                </c:pt>
                <c:pt idx="7">
                  <c:v>153</c:v>
                </c:pt>
                <c:pt idx="8">
                  <c:v>489.5</c:v>
                </c:pt>
                <c:pt idx="9">
                  <c:v>490</c:v>
                </c:pt>
                <c:pt idx="10">
                  <c:v>2248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208-4C5B-A05B-F00742F444F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  <c:pt idx="2">
                    <c:v>7.2199999999999999E-3</c:v>
                  </c:pt>
                  <c:pt idx="3">
                    <c:v>1.32E-3</c:v>
                  </c:pt>
                  <c:pt idx="4">
                    <c:v>8.0999999999999996E-4</c:v>
                  </c:pt>
                  <c:pt idx="5">
                    <c:v>0</c:v>
                  </c:pt>
                  <c:pt idx="6">
                    <c:v>2.6700000000000001E-3</c:v>
                  </c:pt>
                  <c:pt idx="7">
                    <c:v>2.4299999999999999E-3</c:v>
                  </c:pt>
                  <c:pt idx="8">
                    <c:v>7.6800000000000002E-3</c:v>
                  </c:pt>
                  <c:pt idx="9">
                    <c:v>1.57E-3</c:v>
                  </c:pt>
                  <c:pt idx="10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  <c:pt idx="2">
                    <c:v>7.2199999999999999E-3</c:v>
                  </c:pt>
                  <c:pt idx="3">
                    <c:v>1.32E-3</c:v>
                  </c:pt>
                  <c:pt idx="4">
                    <c:v>8.0999999999999996E-4</c:v>
                  </c:pt>
                  <c:pt idx="5">
                    <c:v>0</c:v>
                  </c:pt>
                  <c:pt idx="6">
                    <c:v>2.6700000000000001E-3</c:v>
                  </c:pt>
                  <c:pt idx="7">
                    <c:v>2.4299999999999999E-3</c:v>
                  </c:pt>
                  <c:pt idx="8">
                    <c:v>7.6800000000000002E-3</c:v>
                  </c:pt>
                  <c:pt idx="9">
                    <c:v>1.57E-3</c:v>
                  </c:pt>
                  <c:pt idx="10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-6434</c:v>
                </c:pt>
                <c:pt idx="1">
                  <c:v>-343.5</c:v>
                </c:pt>
                <c:pt idx="2">
                  <c:v>-343</c:v>
                </c:pt>
                <c:pt idx="3">
                  <c:v>-100.5</c:v>
                </c:pt>
                <c:pt idx="4">
                  <c:v>-100</c:v>
                </c:pt>
                <c:pt idx="5">
                  <c:v>0</c:v>
                </c:pt>
                <c:pt idx="6">
                  <c:v>152.5</c:v>
                </c:pt>
                <c:pt idx="7">
                  <c:v>153</c:v>
                </c:pt>
                <c:pt idx="8">
                  <c:v>489.5</c:v>
                </c:pt>
                <c:pt idx="9">
                  <c:v>490</c:v>
                </c:pt>
                <c:pt idx="10">
                  <c:v>2248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208-4C5B-A05B-F00742F444F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  <c:pt idx="2">
                    <c:v>7.2199999999999999E-3</c:v>
                  </c:pt>
                  <c:pt idx="3">
                    <c:v>1.32E-3</c:v>
                  </c:pt>
                  <c:pt idx="4">
                    <c:v>8.0999999999999996E-4</c:v>
                  </c:pt>
                  <c:pt idx="5">
                    <c:v>0</c:v>
                  </c:pt>
                  <c:pt idx="6">
                    <c:v>2.6700000000000001E-3</c:v>
                  </c:pt>
                  <c:pt idx="7">
                    <c:v>2.4299999999999999E-3</c:v>
                  </c:pt>
                  <c:pt idx="8">
                    <c:v>7.6800000000000002E-3</c:v>
                  </c:pt>
                  <c:pt idx="9">
                    <c:v>1.57E-3</c:v>
                  </c:pt>
                  <c:pt idx="10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  <c:pt idx="2">
                    <c:v>7.2199999999999999E-3</c:v>
                  </c:pt>
                  <c:pt idx="3">
                    <c:v>1.32E-3</c:v>
                  </c:pt>
                  <c:pt idx="4">
                    <c:v>8.0999999999999996E-4</c:v>
                  </c:pt>
                  <c:pt idx="5">
                    <c:v>0</c:v>
                  </c:pt>
                  <c:pt idx="6">
                    <c:v>2.6700000000000001E-3</c:v>
                  </c:pt>
                  <c:pt idx="7">
                    <c:v>2.4299999999999999E-3</c:v>
                  </c:pt>
                  <c:pt idx="8">
                    <c:v>7.6800000000000002E-3</c:v>
                  </c:pt>
                  <c:pt idx="9">
                    <c:v>1.57E-3</c:v>
                  </c:pt>
                  <c:pt idx="10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-6434</c:v>
                </c:pt>
                <c:pt idx="1">
                  <c:v>-343.5</c:v>
                </c:pt>
                <c:pt idx="2">
                  <c:v>-343</c:v>
                </c:pt>
                <c:pt idx="3">
                  <c:v>-100.5</c:v>
                </c:pt>
                <c:pt idx="4">
                  <c:v>-100</c:v>
                </c:pt>
                <c:pt idx="5">
                  <c:v>0</c:v>
                </c:pt>
                <c:pt idx="6">
                  <c:v>152.5</c:v>
                </c:pt>
                <c:pt idx="7">
                  <c:v>153</c:v>
                </c:pt>
                <c:pt idx="8">
                  <c:v>489.5</c:v>
                </c:pt>
                <c:pt idx="9">
                  <c:v>490</c:v>
                </c:pt>
                <c:pt idx="10">
                  <c:v>2248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208-4C5B-A05B-F00742F444F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  <c:pt idx="2">
                    <c:v>7.2199999999999999E-3</c:v>
                  </c:pt>
                  <c:pt idx="3">
                    <c:v>1.32E-3</c:v>
                  </c:pt>
                  <c:pt idx="4">
                    <c:v>8.0999999999999996E-4</c:v>
                  </c:pt>
                  <c:pt idx="5">
                    <c:v>0</c:v>
                  </c:pt>
                  <c:pt idx="6">
                    <c:v>2.6700000000000001E-3</c:v>
                  </c:pt>
                  <c:pt idx="7">
                    <c:v>2.4299999999999999E-3</c:v>
                  </c:pt>
                  <c:pt idx="8">
                    <c:v>7.6800000000000002E-3</c:v>
                  </c:pt>
                  <c:pt idx="9">
                    <c:v>1.57E-3</c:v>
                  </c:pt>
                  <c:pt idx="10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1.23E-2</c:v>
                  </c:pt>
                  <c:pt idx="2">
                    <c:v>7.2199999999999999E-3</c:v>
                  </c:pt>
                  <c:pt idx="3">
                    <c:v>1.32E-3</c:v>
                  </c:pt>
                  <c:pt idx="4">
                    <c:v>8.0999999999999996E-4</c:v>
                  </c:pt>
                  <c:pt idx="5">
                    <c:v>0</c:v>
                  </c:pt>
                  <c:pt idx="6">
                    <c:v>2.6700000000000001E-3</c:v>
                  </c:pt>
                  <c:pt idx="7">
                    <c:v>2.4299999999999999E-3</c:v>
                  </c:pt>
                  <c:pt idx="8">
                    <c:v>7.6800000000000002E-3</c:v>
                  </c:pt>
                  <c:pt idx="9">
                    <c:v>1.57E-3</c:v>
                  </c:pt>
                  <c:pt idx="10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-6434</c:v>
                </c:pt>
                <c:pt idx="1">
                  <c:v>-343.5</c:v>
                </c:pt>
                <c:pt idx="2">
                  <c:v>-343</c:v>
                </c:pt>
                <c:pt idx="3">
                  <c:v>-100.5</c:v>
                </c:pt>
                <c:pt idx="4">
                  <c:v>-100</c:v>
                </c:pt>
                <c:pt idx="5">
                  <c:v>0</c:v>
                </c:pt>
                <c:pt idx="6">
                  <c:v>152.5</c:v>
                </c:pt>
                <c:pt idx="7">
                  <c:v>153</c:v>
                </c:pt>
                <c:pt idx="8">
                  <c:v>489.5</c:v>
                </c:pt>
                <c:pt idx="9">
                  <c:v>490</c:v>
                </c:pt>
                <c:pt idx="10">
                  <c:v>2248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0">
                  <c:v>-3.3255999995162711E-2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208-4C5B-A05B-F00742F444F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-6434</c:v>
                </c:pt>
                <c:pt idx="1">
                  <c:v>-343.5</c:v>
                </c:pt>
                <c:pt idx="2">
                  <c:v>-343</c:v>
                </c:pt>
                <c:pt idx="3">
                  <c:v>-100.5</c:v>
                </c:pt>
                <c:pt idx="4">
                  <c:v>-100</c:v>
                </c:pt>
                <c:pt idx="5">
                  <c:v>0</c:v>
                </c:pt>
                <c:pt idx="6">
                  <c:v>152.5</c:v>
                </c:pt>
                <c:pt idx="7">
                  <c:v>153</c:v>
                </c:pt>
                <c:pt idx="8">
                  <c:v>489.5</c:v>
                </c:pt>
                <c:pt idx="9">
                  <c:v>490</c:v>
                </c:pt>
                <c:pt idx="10">
                  <c:v>2248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-3.2825053576206485E-2</c:v>
                </c:pt>
                <c:pt idx="1">
                  <c:v>-2.6277180020174377E-3</c:v>
                </c:pt>
                <c:pt idx="2">
                  <c:v>-2.6252389497578373E-3</c:v>
                </c:pt>
                <c:pt idx="3">
                  <c:v>-1.4228986038517799E-3</c:v>
                </c:pt>
                <c:pt idx="4">
                  <c:v>-1.4204195515921797E-3</c:v>
                </c:pt>
                <c:pt idx="5">
                  <c:v>-9.2460909967215601E-4</c:v>
                </c:pt>
                <c:pt idx="6">
                  <c:v>-1.6849816049411984E-4</c:v>
                </c:pt>
                <c:pt idx="7">
                  <c:v>-1.6601910823451976E-4</c:v>
                </c:pt>
                <c:pt idx="8">
                  <c:v>1.5023830624763597E-3</c:v>
                </c:pt>
                <c:pt idx="9">
                  <c:v>1.5048621147359601E-3</c:v>
                </c:pt>
                <c:pt idx="10">
                  <c:v>1.0221209859489976E-2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208-4C5B-A05B-F00742F44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6568696"/>
        <c:axId val="1"/>
      </c:scatterChart>
      <c:valAx>
        <c:axId val="656568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9026425591099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65686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7538247566063978"/>
          <c:y val="0.92397937099967764"/>
          <c:w val="0.5869262865090403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0</xdr:row>
      <xdr:rowOff>0</xdr:rowOff>
    </xdr:from>
    <xdr:to>
      <xdr:col>18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AC601A2-590A-E2EC-6F14-17045817A8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07" TargetMode="External"/><Relationship Id="rId3" Type="http://schemas.openxmlformats.org/officeDocument/2006/relationships/hyperlink" Target="http://www.konkoly.hu/cgi-bin/IBVS?6007" TargetMode="External"/><Relationship Id="rId7" Type="http://schemas.openxmlformats.org/officeDocument/2006/relationships/hyperlink" Target="http://www.konkoly.hu/cgi-bin/IBVS?6007" TargetMode="External"/><Relationship Id="rId2" Type="http://schemas.openxmlformats.org/officeDocument/2006/relationships/hyperlink" Target="http://www.konkoly.hu/cgi-bin/IBVS?6007" TargetMode="External"/><Relationship Id="rId1" Type="http://schemas.openxmlformats.org/officeDocument/2006/relationships/hyperlink" Target="http://www.konkoly.hu/cgi-bin/IBVS?6007" TargetMode="External"/><Relationship Id="rId6" Type="http://schemas.openxmlformats.org/officeDocument/2006/relationships/hyperlink" Target="http://www.konkoly.hu/cgi-bin/IBVS?6007" TargetMode="External"/><Relationship Id="rId5" Type="http://schemas.openxmlformats.org/officeDocument/2006/relationships/hyperlink" Target="http://www.konkoly.hu/cgi-bin/IBVS?6007" TargetMode="External"/><Relationship Id="rId4" Type="http://schemas.openxmlformats.org/officeDocument/2006/relationships/hyperlink" Target="http://www.konkoly.hu/cgi-bin/IBVS?600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8" sqref="E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88</v>
      </c>
    </row>
    <row r="2" spans="1:6" x14ac:dyDescent="0.2">
      <c r="A2" t="s">
        <v>23</v>
      </c>
      <c r="B2" s="12" t="s">
        <v>36</v>
      </c>
      <c r="C2" s="3"/>
      <c r="D2" s="3"/>
    </row>
    <row r="3" spans="1:6" ht="13.5" thickBot="1" x14ac:dyDescent="0.25"/>
    <row r="4" spans="1:6" ht="14.25" thickTop="1" thickBot="1" x14ac:dyDescent="0.25">
      <c r="A4" s="28" t="s">
        <v>37</v>
      </c>
      <c r="C4" s="8">
        <v>53125.548499999997</v>
      </c>
      <c r="D4" s="9">
        <v>3.0724659999999999</v>
      </c>
    </row>
    <row r="5" spans="1:6" ht="13.5" thickTop="1" x14ac:dyDescent="0.2">
      <c r="A5" s="11" t="s">
        <v>30</v>
      </c>
      <c r="B5" s="12"/>
      <c r="C5" s="13">
        <v>-9.5</v>
      </c>
      <c r="D5" s="12" t="s">
        <v>31</v>
      </c>
    </row>
    <row r="6" spans="1:6" x14ac:dyDescent="0.2">
      <c r="A6" s="5" t="s">
        <v>0</v>
      </c>
    </row>
    <row r="7" spans="1:6" x14ac:dyDescent="0.2">
      <c r="A7" t="s">
        <v>1</v>
      </c>
      <c r="C7">
        <f>+C4</f>
        <v>53125.548499999997</v>
      </c>
    </row>
    <row r="8" spans="1:6" x14ac:dyDescent="0.2">
      <c r="A8" t="s">
        <v>2</v>
      </c>
      <c r="C8">
        <f>+D4</f>
        <v>3.0724659999999999</v>
      </c>
    </row>
    <row r="9" spans="1:6" x14ac:dyDescent="0.2">
      <c r="A9" s="26" t="s">
        <v>35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6" x14ac:dyDescent="0.2">
      <c r="A11" s="12" t="s">
        <v>14</v>
      </c>
      <c r="B11" s="12"/>
      <c r="C11" s="23">
        <f ca="1">INTERCEPT(INDIRECT($D$9):G992,INDIRECT($C$9):F992)</f>
        <v>-9.2460909967215601E-4</v>
      </c>
      <c r="D11" s="3"/>
      <c r="E11" s="12"/>
    </row>
    <row r="12" spans="1:6" x14ac:dyDescent="0.2">
      <c r="A12" s="12" t="s">
        <v>15</v>
      </c>
      <c r="B12" s="12"/>
      <c r="C12" s="23">
        <f ca="1">SLOPE(INDIRECT($D$9):G992,INDIRECT($C$9):F992)</f>
        <v>4.9581045192002369E-6</v>
      </c>
      <c r="D12" s="3"/>
      <c r="E12" s="12"/>
    </row>
    <row r="13" spans="1:6" x14ac:dyDescent="0.2">
      <c r="A13" s="12" t="s">
        <v>18</v>
      </c>
      <c r="B13" s="12"/>
      <c r="C13" s="3" t="s">
        <v>12</v>
      </c>
    </row>
    <row r="14" spans="1:6" x14ac:dyDescent="0.2">
      <c r="A14" s="12"/>
      <c r="B14" s="12"/>
      <c r="C14" s="12"/>
    </row>
    <row r="15" spans="1:6" x14ac:dyDescent="0.2">
      <c r="A15" s="14" t="s">
        <v>16</v>
      </c>
      <c r="B15" s="12"/>
      <c r="C15" s="15">
        <f ca="1">(C7+C11)+(C8+C12)*INT(MAX(F21:F3533))</f>
        <v>60032.462289209856</v>
      </c>
      <c r="E15" s="16" t="s">
        <v>39</v>
      </c>
      <c r="F15" s="13">
        <v>1</v>
      </c>
    </row>
    <row r="16" spans="1:6" x14ac:dyDescent="0.2">
      <c r="A16" s="18" t="s">
        <v>3</v>
      </c>
      <c r="B16" s="12"/>
      <c r="C16" s="19">
        <f ca="1">+C8+C12</f>
        <v>3.0724709581045193</v>
      </c>
      <c r="E16" s="16" t="s">
        <v>32</v>
      </c>
      <c r="F16" s="17">
        <f ca="1">NOW()+15018.5+$C$5/24</f>
        <v>60355.756689814814</v>
      </c>
    </row>
    <row r="17" spans="1:17" ht="13.5" thickBot="1" x14ac:dyDescent="0.25">
      <c r="A17" s="16" t="s">
        <v>29</v>
      </c>
      <c r="B17" s="12"/>
      <c r="C17" s="12">
        <f>COUNT(C21:C2191)</f>
        <v>11</v>
      </c>
      <c r="E17" s="16" t="s">
        <v>40</v>
      </c>
      <c r="F17" s="17">
        <f ca="1">ROUND(2*(F16-$C$7)/$C$8,0)/2+F15</f>
        <v>2354</v>
      </c>
    </row>
    <row r="18" spans="1:17" ht="14.25" thickTop="1" thickBot="1" x14ac:dyDescent="0.25">
      <c r="A18" s="18" t="s">
        <v>4</v>
      </c>
      <c r="B18" s="12"/>
      <c r="C18" s="21">
        <f ca="1">+C15</f>
        <v>60032.462289209856</v>
      </c>
      <c r="D18" s="22">
        <f ca="1">+C16</f>
        <v>3.0724709581045193</v>
      </c>
      <c r="E18" s="16" t="s">
        <v>33</v>
      </c>
      <c r="F18" s="25">
        <f ca="1">ROUND(2*(F16-$C$15)/$C$16,0)/2+F15</f>
        <v>106</v>
      </c>
    </row>
    <row r="19" spans="1:17" ht="13.5" thickTop="1" x14ac:dyDescent="0.2">
      <c r="E19" s="16" t="s">
        <v>34</v>
      </c>
      <c r="F19" s="20">
        <f ca="1">+$C$15+$C$16*F18-15018.5-$C$5/24</f>
        <v>45340.040044102272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46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7" x14ac:dyDescent="0.2">
      <c r="A21" s="45" t="s">
        <v>60</v>
      </c>
      <c r="B21" s="47" t="s">
        <v>43</v>
      </c>
      <c r="C21" s="46">
        <v>33357.269</v>
      </c>
      <c r="D21" s="46" t="s">
        <v>54</v>
      </c>
      <c r="E21">
        <f t="shared" ref="E21:E30" si="0">+(C21-C$7)/C$8</f>
        <v>-6434.0108238789289</v>
      </c>
      <c r="F21">
        <f t="shared" ref="F21:F30" si="1">ROUND(2*E21,0)/2</f>
        <v>-6434</v>
      </c>
      <c r="G21">
        <f t="shared" ref="G21:G30" si="2">+C21-(C$7+F21*C$8)</f>
        <v>-3.3255999995162711E-2</v>
      </c>
      <c r="N21">
        <f>+G21</f>
        <v>-3.3255999995162711E-2</v>
      </c>
      <c r="O21">
        <f t="shared" ref="O21:O30" ca="1" si="3">+C$11+C$12*$F21</f>
        <v>-3.2825053576206485E-2</v>
      </c>
      <c r="Q21" s="2">
        <f t="shared" ref="Q21:Q30" si="4">+C21-15018.5</f>
        <v>18338.769</v>
      </c>
    </row>
    <row r="22" spans="1:17" x14ac:dyDescent="0.2">
      <c r="A22" s="30" t="s">
        <v>41</v>
      </c>
      <c r="B22" s="31" t="s">
        <v>42</v>
      </c>
      <c r="C22" s="30">
        <v>52070.150390000003</v>
      </c>
      <c r="D22" s="30">
        <v>1.23E-2</v>
      </c>
      <c r="E22">
        <f t="shared" si="0"/>
        <v>-343.50196552215539</v>
      </c>
      <c r="F22">
        <f t="shared" si="1"/>
        <v>-343.5</v>
      </c>
      <c r="G22">
        <f t="shared" si="2"/>
        <v>-6.0389999925973825E-3</v>
      </c>
      <c r="H22">
        <f t="shared" ref="H22:H30" si="5">+G22</f>
        <v>-6.0389999925973825E-3</v>
      </c>
      <c r="O22">
        <f t="shared" ca="1" si="3"/>
        <v>-2.6277180020174377E-3</v>
      </c>
      <c r="Q22" s="2">
        <f t="shared" si="4"/>
        <v>37051.650390000003</v>
      </c>
    </row>
    <row r="23" spans="1:17" x14ac:dyDescent="0.2">
      <c r="A23" s="30" t="s">
        <v>41</v>
      </c>
      <c r="B23" s="31" t="s">
        <v>43</v>
      </c>
      <c r="C23" s="30">
        <v>52071.687180000001</v>
      </c>
      <c r="D23" s="30">
        <v>7.2199999999999999E-3</v>
      </c>
      <c r="E23">
        <f t="shared" si="0"/>
        <v>-343.00178423455179</v>
      </c>
      <c r="F23">
        <f t="shared" si="1"/>
        <v>-343</v>
      </c>
      <c r="G23">
        <f t="shared" si="2"/>
        <v>-5.4819999932078645E-3</v>
      </c>
      <c r="H23">
        <f t="shared" si="5"/>
        <v>-5.4819999932078645E-3</v>
      </c>
      <c r="O23">
        <f t="shared" ca="1" si="3"/>
        <v>-2.6252389497578373E-3</v>
      </c>
      <c r="Q23" s="2">
        <f t="shared" si="4"/>
        <v>37053.187180000001</v>
      </c>
    </row>
    <row r="24" spans="1:17" x14ac:dyDescent="0.2">
      <c r="A24" s="30" t="s">
        <v>41</v>
      </c>
      <c r="B24" s="31" t="s">
        <v>42</v>
      </c>
      <c r="C24" s="30">
        <v>52816.767650000002</v>
      </c>
      <c r="D24" s="30">
        <v>1.32E-3</v>
      </c>
      <c r="E24">
        <f t="shared" si="0"/>
        <v>-100.49935459009004</v>
      </c>
      <c r="F24">
        <f t="shared" si="1"/>
        <v>-100.5</v>
      </c>
      <c r="G24">
        <f t="shared" si="2"/>
        <v>1.9830000019283034E-3</v>
      </c>
      <c r="H24">
        <f t="shared" si="5"/>
        <v>1.9830000019283034E-3</v>
      </c>
      <c r="O24">
        <f t="shared" ca="1" si="3"/>
        <v>-1.4228986038517799E-3</v>
      </c>
      <c r="Q24" s="2">
        <f t="shared" si="4"/>
        <v>37798.267650000002</v>
      </c>
    </row>
    <row r="25" spans="1:17" x14ac:dyDescent="0.2">
      <c r="A25" s="30" t="s">
        <v>41</v>
      </c>
      <c r="B25" s="31" t="s">
        <v>43</v>
      </c>
      <c r="C25" s="30">
        <v>52818.303569999996</v>
      </c>
      <c r="D25" s="30">
        <v>8.0999999999999996E-4</v>
      </c>
      <c r="E25">
        <f t="shared" si="0"/>
        <v>-99.999456462659225</v>
      </c>
      <c r="F25">
        <f t="shared" si="1"/>
        <v>-100</v>
      </c>
      <c r="G25">
        <f t="shared" si="2"/>
        <v>1.6699999978300184E-3</v>
      </c>
      <c r="H25">
        <f t="shared" si="5"/>
        <v>1.6699999978300184E-3</v>
      </c>
      <c r="O25">
        <f t="shared" ca="1" si="3"/>
        <v>-1.4204195515921797E-3</v>
      </c>
      <c r="Q25" s="2">
        <f t="shared" si="4"/>
        <v>37799.803569999996</v>
      </c>
    </row>
    <row r="26" spans="1:17" x14ac:dyDescent="0.2">
      <c r="A26" s="29" t="s">
        <v>38</v>
      </c>
      <c r="B26" s="3"/>
      <c r="C26" s="10">
        <v>53125.548499999997</v>
      </c>
      <c r="D26" s="10" t="s">
        <v>12</v>
      </c>
      <c r="E26">
        <f t="shared" si="0"/>
        <v>0</v>
      </c>
      <c r="F26">
        <f t="shared" si="1"/>
        <v>0</v>
      </c>
      <c r="G26">
        <f t="shared" si="2"/>
        <v>0</v>
      </c>
      <c r="H26">
        <f t="shared" si="5"/>
        <v>0</v>
      </c>
      <c r="O26">
        <f t="shared" ca="1" si="3"/>
        <v>-9.2460909967215601E-4</v>
      </c>
      <c r="Q26" s="2">
        <f t="shared" si="4"/>
        <v>38107.048499999997</v>
      </c>
    </row>
    <row r="27" spans="1:17" x14ac:dyDescent="0.2">
      <c r="A27" s="30" t="s">
        <v>41</v>
      </c>
      <c r="B27" s="31" t="s">
        <v>42</v>
      </c>
      <c r="C27" s="30">
        <v>53594.096769999996</v>
      </c>
      <c r="D27" s="30">
        <v>2.6700000000000001E-3</v>
      </c>
      <c r="E27">
        <f t="shared" si="0"/>
        <v>152.49909030726437</v>
      </c>
      <c r="F27">
        <f t="shared" si="1"/>
        <v>152.5</v>
      </c>
      <c r="G27">
        <f t="shared" si="2"/>
        <v>-2.7950000003329478E-3</v>
      </c>
      <c r="H27">
        <f t="shared" si="5"/>
        <v>-2.7950000003329478E-3</v>
      </c>
      <c r="O27">
        <f t="shared" ca="1" si="3"/>
        <v>-1.6849816049411984E-4</v>
      </c>
      <c r="Q27" s="2">
        <f t="shared" si="4"/>
        <v>38575.596769999996</v>
      </c>
    </row>
    <row r="28" spans="1:17" x14ac:dyDescent="0.2">
      <c r="A28" s="30" t="s">
        <v>41</v>
      </c>
      <c r="B28" s="31" t="s">
        <v>43</v>
      </c>
      <c r="C28" s="30">
        <v>53595.637949999997</v>
      </c>
      <c r="D28" s="30">
        <v>2.4299999999999999E-3</v>
      </c>
      <c r="E28">
        <f t="shared" si="0"/>
        <v>153.0007004145854</v>
      </c>
      <c r="F28">
        <f t="shared" si="1"/>
        <v>153</v>
      </c>
      <c r="G28">
        <f t="shared" si="2"/>
        <v>2.1520000009331852E-3</v>
      </c>
      <c r="H28">
        <f t="shared" si="5"/>
        <v>2.1520000009331852E-3</v>
      </c>
      <c r="O28">
        <f t="shared" ca="1" si="3"/>
        <v>-1.6601910823451976E-4</v>
      </c>
      <c r="Q28" s="2">
        <f t="shared" si="4"/>
        <v>38577.137949999997</v>
      </c>
    </row>
    <row r="29" spans="1:17" x14ac:dyDescent="0.2">
      <c r="A29" s="30" t="s">
        <v>41</v>
      </c>
      <c r="B29" s="31" t="s">
        <v>42</v>
      </c>
      <c r="C29" s="30">
        <v>54629.52233</v>
      </c>
      <c r="D29" s="30">
        <v>7.6800000000000002E-3</v>
      </c>
      <c r="E29">
        <f t="shared" si="0"/>
        <v>489.50056078732933</v>
      </c>
      <c r="F29">
        <f t="shared" si="1"/>
        <v>489.5</v>
      </c>
      <c r="G29">
        <f t="shared" si="2"/>
        <v>1.7230000012204982E-3</v>
      </c>
      <c r="H29">
        <f t="shared" si="5"/>
        <v>1.7230000012204982E-3</v>
      </c>
      <c r="O29">
        <f t="shared" ca="1" si="3"/>
        <v>1.5023830624763597E-3</v>
      </c>
      <c r="Q29" s="2">
        <f t="shared" si="4"/>
        <v>39611.02233</v>
      </c>
    </row>
    <row r="30" spans="1:17" x14ac:dyDescent="0.2">
      <c r="A30" s="30" t="s">
        <v>41</v>
      </c>
      <c r="B30" s="31" t="s">
        <v>43</v>
      </c>
      <c r="C30" s="30">
        <v>54631.06</v>
      </c>
      <c r="D30" s="30">
        <v>1.57E-3</v>
      </c>
      <c r="E30">
        <f t="shared" si="0"/>
        <v>490.00102848981913</v>
      </c>
      <c r="F30">
        <f t="shared" si="1"/>
        <v>490</v>
      </c>
      <c r="G30">
        <f t="shared" si="2"/>
        <v>3.1600000002072193E-3</v>
      </c>
      <c r="H30">
        <f t="shared" si="5"/>
        <v>3.1600000002072193E-3</v>
      </c>
      <c r="O30">
        <f t="shared" ca="1" si="3"/>
        <v>1.5048621147359601E-3</v>
      </c>
      <c r="Q30" s="2">
        <f t="shared" si="4"/>
        <v>39612.559999999998</v>
      </c>
    </row>
    <row r="31" spans="1:17" x14ac:dyDescent="0.2">
      <c r="A31" s="48" t="s">
        <v>89</v>
      </c>
      <c r="B31" s="51" t="s">
        <v>43</v>
      </c>
      <c r="C31" s="49">
        <v>60032.459999999963</v>
      </c>
      <c r="D31" s="50">
        <v>4.0000000000000001E-3</v>
      </c>
      <c r="E31">
        <f t="shared" ref="E31" si="6">+(C31-C$7)/C$8</f>
        <v>2248.0025816396228</v>
      </c>
      <c r="F31">
        <f t="shared" ref="F31" si="7">ROUND(2*E31,0)/2</f>
        <v>2248</v>
      </c>
      <c r="G31">
        <f t="shared" ref="G31" si="8">+C31-(C$7+F31*C$8)</f>
        <v>7.9319999640574679E-3</v>
      </c>
      <c r="I31">
        <f>+G31</f>
        <v>7.9319999640574679E-3</v>
      </c>
      <c r="O31">
        <f t="shared" ref="O31" ca="1" si="9">+C$11+C$12*$F31</f>
        <v>1.0221209859489976E-2</v>
      </c>
      <c r="Q31" s="2">
        <f t="shared" ref="Q31" si="10">+C31-15018.5</f>
        <v>45013.959999999963</v>
      </c>
    </row>
    <row r="32" spans="1:17" x14ac:dyDescent="0.2">
      <c r="B32" s="3"/>
      <c r="C32" s="10"/>
      <c r="D32" s="10"/>
      <c r="Q32" s="2"/>
    </row>
    <row r="33" spans="2:17" x14ac:dyDescent="0.2">
      <c r="B33" s="3"/>
      <c r="C33" s="10"/>
      <c r="D33" s="10"/>
      <c r="Q33" s="2"/>
    </row>
    <row r="34" spans="2:17" x14ac:dyDescent="0.2">
      <c r="B34" s="3"/>
      <c r="C34" s="10"/>
      <c r="D34" s="10"/>
    </row>
    <row r="35" spans="2:17" x14ac:dyDescent="0.2">
      <c r="B35" s="3"/>
      <c r="C35" s="10"/>
      <c r="D35" s="10"/>
    </row>
    <row r="36" spans="2:17" x14ac:dyDescent="0.2">
      <c r="B36" s="3"/>
      <c r="C36" s="10"/>
      <c r="D36" s="10"/>
    </row>
    <row r="37" spans="2:17" x14ac:dyDescent="0.2">
      <c r="B37" s="3"/>
      <c r="C37" s="10"/>
      <c r="D37" s="10"/>
    </row>
    <row r="38" spans="2:17" x14ac:dyDescent="0.2">
      <c r="B38" s="3"/>
      <c r="C38" s="10"/>
      <c r="D38" s="10"/>
    </row>
    <row r="39" spans="2:17" x14ac:dyDescent="0.2">
      <c r="B39" s="3"/>
      <c r="C39" s="10"/>
      <c r="D39" s="10"/>
    </row>
    <row r="40" spans="2:17" x14ac:dyDescent="0.2">
      <c r="B40" s="3"/>
      <c r="C40" s="10"/>
      <c r="D40" s="10"/>
    </row>
    <row r="41" spans="2:17" x14ac:dyDescent="0.2">
      <c r="C41" s="10"/>
      <c r="D41" s="10"/>
    </row>
    <row r="42" spans="2:17" x14ac:dyDescent="0.2">
      <c r="C42" s="10"/>
      <c r="D42" s="10"/>
    </row>
    <row r="43" spans="2:17" x14ac:dyDescent="0.2">
      <c r="C43" s="10"/>
      <c r="D43" s="10"/>
    </row>
    <row r="44" spans="2:17" x14ac:dyDescent="0.2">
      <c r="C44" s="10"/>
      <c r="D44" s="10"/>
    </row>
    <row r="45" spans="2:17" x14ac:dyDescent="0.2">
      <c r="C45" s="10"/>
      <c r="D45" s="10"/>
    </row>
    <row r="46" spans="2:17" x14ac:dyDescent="0.2">
      <c r="C46" s="10"/>
      <c r="D46" s="10"/>
    </row>
    <row r="47" spans="2:17" x14ac:dyDescent="0.2">
      <c r="C47" s="10"/>
      <c r="D47" s="10"/>
    </row>
    <row r="48" spans="2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21"/>
  <sheetViews>
    <sheetView workbookViewId="0">
      <selection activeCell="A19" sqref="A19:D19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2" t="s">
        <v>44</v>
      </c>
      <c r="I1" s="33" t="s">
        <v>45</v>
      </c>
      <c r="J1" s="34" t="s">
        <v>46</v>
      </c>
    </row>
    <row r="2" spans="1:16" x14ac:dyDescent="0.2">
      <c r="I2" s="35" t="s">
        <v>47</v>
      </c>
      <c r="J2" s="36" t="s">
        <v>48</v>
      </c>
    </row>
    <row r="3" spans="1:16" x14ac:dyDescent="0.2">
      <c r="A3" s="37" t="s">
        <v>49</v>
      </c>
      <c r="I3" s="35" t="s">
        <v>50</v>
      </c>
      <c r="J3" s="36" t="s">
        <v>51</v>
      </c>
    </row>
    <row r="4" spans="1:16" x14ac:dyDescent="0.2">
      <c r="I4" s="35" t="s">
        <v>52</v>
      </c>
      <c r="J4" s="36" t="s">
        <v>51</v>
      </c>
    </row>
    <row r="5" spans="1:16" ht="13.5" thickBot="1" x14ac:dyDescent="0.25">
      <c r="I5" s="38" t="s">
        <v>53</v>
      </c>
      <c r="J5" s="39" t="s">
        <v>54</v>
      </c>
    </row>
    <row r="10" spans="1:16" ht="13.5" thickBot="1" x14ac:dyDescent="0.25"/>
    <row r="11" spans="1:16" ht="12.75" customHeight="1" thickBot="1" x14ac:dyDescent="0.25">
      <c r="A11" s="10" t="str">
        <f t="shared" ref="A11:A19" si="0">P11</f>
        <v>IBVS 6007 </v>
      </c>
      <c r="B11" s="3" t="str">
        <f t="shared" ref="B11:B19" si="1">IF(H11=INT(H11),"I","II")</f>
        <v>II</v>
      </c>
      <c r="C11" s="10">
        <f t="shared" ref="C11:C19" si="2">1*G11</f>
        <v>52070.150390000003</v>
      </c>
      <c r="D11" s="12" t="str">
        <f t="shared" ref="D11:D19" si="3">VLOOKUP(F11,I$1:J$5,2,FALSE)</f>
        <v>vis</v>
      </c>
      <c r="E11" s="40">
        <f>VLOOKUP(C11,Active!C$21:E$973,3,FALSE)</f>
        <v>-343.50196552215539</v>
      </c>
      <c r="F11" s="3" t="s">
        <v>53</v>
      </c>
      <c r="G11" s="12" t="str">
        <f t="shared" ref="G11:G19" si="4">MID(I11,3,LEN(I11)-3)</f>
        <v>52070.15039</v>
      </c>
      <c r="H11" s="10">
        <f t="shared" ref="H11:H19" si="5">1*K11</f>
        <v>-140.5</v>
      </c>
      <c r="I11" s="41" t="s">
        <v>61</v>
      </c>
      <c r="J11" s="42" t="s">
        <v>62</v>
      </c>
      <c r="K11" s="41">
        <v>-140.5</v>
      </c>
      <c r="L11" s="41" t="s">
        <v>63</v>
      </c>
      <c r="M11" s="42" t="s">
        <v>64</v>
      </c>
      <c r="N11" s="42" t="s">
        <v>53</v>
      </c>
      <c r="O11" s="43" t="s">
        <v>65</v>
      </c>
      <c r="P11" s="44" t="s">
        <v>66</v>
      </c>
    </row>
    <row r="12" spans="1:16" ht="12.75" customHeight="1" thickBot="1" x14ac:dyDescent="0.25">
      <c r="A12" s="10" t="str">
        <f t="shared" si="0"/>
        <v>IBVS 6007 </v>
      </c>
      <c r="B12" s="3" t="str">
        <f t="shared" si="1"/>
        <v>I</v>
      </c>
      <c r="C12" s="10">
        <f t="shared" si="2"/>
        <v>52071.687180000001</v>
      </c>
      <c r="D12" s="12" t="str">
        <f t="shared" si="3"/>
        <v>vis</v>
      </c>
      <c r="E12" s="40">
        <f>VLOOKUP(C12,Active!C$21:E$973,3,FALSE)</f>
        <v>-343.00178423455179</v>
      </c>
      <c r="F12" s="3" t="s">
        <v>53</v>
      </c>
      <c r="G12" s="12" t="str">
        <f t="shared" si="4"/>
        <v>52071.68718</v>
      </c>
      <c r="H12" s="10">
        <f t="shared" si="5"/>
        <v>-140</v>
      </c>
      <c r="I12" s="41" t="s">
        <v>67</v>
      </c>
      <c r="J12" s="42" t="s">
        <v>68</v>
      </c>
      <c r="K12" s="41">
        <v>-140</v>
      </c>
      <c r="L12" s="41" t="s">
        <v>69</v>
      </c>
      <c r="M12" s="42" t="s">
        <v>64</v>
      </c>
      <c r="N12" s="42" t="s">
        <v>53</v>
      </c>
      <c r="O12" s="43" t="s">
        <v>65</v>
      </c>
      <c r="P12" s="44" t="s">
        <v>66</v>
      </c>
    </row>
    <row r="13" spans="1:16" ht="12.75" customHeight="1" thickBot="1" x14ac:dyDescent="0.25">
      <c r="A13" s="10" t="str">
        <f t="shared" si="0"/>
        <v>IBVS 6007 </v>
      </c>
      <c r="B13" s="3" t="str">
        <f t="shared" si="1"/>
        <v>II</v>
      </c>
      <c r="C13" s="10">
        <f t="shared" si="2"/>
        <v>52816.767650000002</v>
      </c>
      <c r="D13" s="12" t="str">
        <f t="shared" si="3"/>
        <v>vis</v>
      </c>
      <c r="E13" s="40">
        <f>VLOOKUP(C13,Active!C$21:E$973,3,FALSE)</f>
        <v>-100.49935459009004</v>
      </c>
      <c r="F13" s="3" t="s">
        <v>53</v>
      </c>
      <c r="G13" s="12" t="str">
        <f t="shared" si="4"/>
        <v>52816.76765</v>
      </c>
      <c r="H13" s="10">
        <f t="shared" si="5"/>
        <v>102.5</v>
      </c>
      <c r="I13" s="41" t="s">
        <v>70</v>
      </c>
      <c r="J13" s="42" t="s">
        <v>71</v>
      </c>
      <c r="K13" s="41">
        <v>102.5</v>
      </c>
      <c r="L13" s="41" t="s">
        <v>72</v>
      </c>
      <c r="M13" s="42" t="s">
        <v>64</v>
      </c>
      <c r="N13" s="42" t="s">
        <v>53</v>
      </c>
      <c r="O13" s="43" t="s">
        <v>65</v>
      </c>
      <c r="P13" s="44" t="s">
        <v>66</v>
      </c>
    </row>
    <row r="14" spans="1:16" ht="12.75" customHeight="1" thickBot="1" x14ac:dyDescent="0.25">
      <c r="A14" s="10" t="str">
        <f t="shared" si="0"/>
        <v>IBVS 6007 </v>
      </c>
      <c r="B14" s="3" t="str">
        <f t="shared" si="1"/>
        <v>I</v>
      </c>
      <c r="C14" s="10">
        <f t="shared" si="2"/>
        <v>52818.303569999996</v>
      </c>
      <c r="D14" s="12" t="str">
        <f t="shared" si="3"/>
        <v>vis</v>
      </c>
      <c r="E14" s="40">
        <f>VLOOKUP(C14,Active!C$21:E$973,3,FALSE)</f>
        <v>-99.999456462659225</v>
      </c>
      <c r="F14" s="3" t="s">
        <v>53</v>
      </c>
      <c r="G14" s="12" t="str">
        <f t="shared" si="4"/>
        <v>52818.30357</v>
      </c>
      <c r="H14" s="10">
        <f t="shared" si="5"/>
        <v>103</v>
      </c>
      <c r="I14" s="41" t="s">
        <v>73</v>
      </c>
      <c r="J14" s="42" t="s">
        <v>74</v>
      </c>
      <c r="K14" s="41">
        <v>103</v>
      </c>
      <c r="L14" s="41" t="s">
        <v>75</v>
      </c>
      <c r="M14" s="42" t="s">
        <v>64</v>
      </c>
      <c r="N14" s="42" t="s">
        <v>53</v>
      </c>
      <c r="O14" s="43" t="s">
        <v>65</v>
      </c>
      <c r="P14" s="44" t="s">
        <v>66</v>
      </c>
    </row>
    <row r="15" spans="1:16" ht="12.75" customHeight="1" thickBot="1" x14ac:dyDescent="0.25">
      <c r="A15" s="10" t="str">
        <f t="shared" si="0"/>
        <v>IBVS 6007 </v>
      </c>
      <c r="B15" s="3" t="str">
        <f t="shared" si="1"/>
        <v>II</v>
      </c>
      <c r="C15" s="10">
        <f t="shared" si="2"/>
        <v>53594.096769999996</v>
      </c>
      <c r="D15" s="12" t="str">
        <f t="shared" si="3"/>
        <v>vis</v>
      </c>
      <c r="E15" s="40">
        <f>VLOOKUP(C15,Active!C$21:E$973,3,FALSE)</f>
        <v>152.49909030726437</v>
      </c>
      <c r="F15" s="3" t="s">
        <v>53</v>
      </c>
      <c r="G15" s="12" t="str">
        <f t="shared" si="4"/>
        <v>53594.09677</v>
      </c>
      <c r="H15" s="10">
        <f t="shared" si="5"/>
        <v>355.5</v>
      </c>
      <c r="I15" s="41" t="s">
        <v>76</v>
      </c>
      <c r="J15" s="42" t="s">
        <v>77</v>
      </c>
      <c r="K15" s="41">
        <v>355.5</v>
      </c>
      <c r="L15" s="41" t="s">
        <v>78</v>
      </c>
      <c r="M15" s="42" t="s">
        <v>64</v>
      </c>
      <c r="N15" s="42" t="s">
        <v>53</v>
      </c>
      <c r="O15" s="43" t="s">
        <v>65</v>
      </c>
      <c r="P15" s="44" t="s">
        <v>66</v>
      </c>
    </row>
    <row r="16" spans="1:16" ht="12.75" customHeight="1" thickBot="1" x14ac:dyDescent="0.25">
      <c r="A16" s="10" t="str">
        <f t="shared" si="0"/>
        <v>IBVS 6007 </v>
      </c>
      <c r="B16" s="3" t="str">
        <f t="shared" si="1"/>
        <v>I</v>
      </c>
      <c r="C16" s="10">
        <f t="shared" si="2"/>
        <v>53595.637949999997</v>
      </c>
      <c r="D16" s="12" t="str">
        <f t="shared" si="3"/>
        <v>vis</v>
      </c>
      <c r="E16" s="40">
        <f>VLOOKUP(C16,Active!C$21:E$973,3,FALSE)</f>
        <v>153.0007004145854</v>
      </c>
      <c r="F16" s="3" t="s">
        <v>53</v>
      </c>
      <c r="G16" s="12" t="str">
        <f t="shared" si="4"/>
        <v>53595.63795</v>
      </c>
      <c r="H16" s="10">
        <f t="shared" si="5"/>
        <v>356</v>
      </c>
      <c r="I16" s="41" t="s">
        <v>79</v>
      </c>
      <c r="J16" s="42" t="s">
        <v>80</v>
      </c>
      <c r="K16" s="41">
        <v>356</v>
      </c>
      <c r="L16" s="41" t="s">
        <v>81</v>
      </c>
      <c r="M16" s="42" t="s">
        <v>64</v>
      </c>
      <c r="N16" s="42" t="s">
        <v>53</v>
      </c>
      <c r="O16" s="43" t="s">
        <v>65</v>
      </c>
      <c r="P16" s="44" t="s">
        <v>66</v>
      </c>
    </row>
    <row r="17" spans="1:16" ht="12.75" customHeight="1" thickBot="1" x14ac:dyDescent="0.25">
      <c r="A17" s="10" t="str">
        <f t="shared" si="0"/>
        <v>IBVS 6007 </v>
      </c>
      <c r="B17" s="3" t="str">
        <f t="shared" si="1"/>
        <v>II</v>
      </c>
      <c r="C17" s="10">
        <f t="shared" si="2"/>
        <v>54629.52233</v>
      </c>
      <c r="D17" s="12" t="str">
        <f t="shared" si="3"/>
        <v>vis</v>
      </c>
      <c r="E17" s="40">
        <f>VLOOKUP(C17,Active!C$21:E$973,3,FALSE)</f>
        <v>489.50056078732933</v>
      </c>
      <c r="F17" s="3" t="s">
        <v>53</v>
      </c>
      <c r="G17" s="12" t="str">
        <f t="shared" si="4"/>
        <v>54629.52233</v>
      </c>
      <c r="H17" s="10">
        <f t="shared" si="5"/>
        <v>692.5</v>
      </c>
      <c r="I17" s="41" t="s">
        <v>82</v>
      </c>
      <c r="J17" s="42" t="s">
        <v>83</v>
      </c>
      <c r="K17" s="41">
        <v>692.5</v>
      </c>
      <c r="L17" s="41" t="s">
        <v>84</v>
      </c>
      <c r="M17" s="42" t="s">
        <v>64</v>
      </c>
      <c r="N17" s="42" t="s">
        <v>53</v>
      </c>
      <c r="O17" s="43" t="s">
        <v>65</v>
      </c>
      <c r="P17" s="44" t="s">
        <v>66</v>
      </c>
    </row>
    <row r="18" spans="1:16" ht="12.75" customHeight="1" thickBot="1" x14ac:dyDescent="0.25">
      <c r="A18" s="10" t="str">
        <f t="shared" si="0"/>
        <v>IBVS 6007 </v>
      </c>
      <c r="B18" s="3" t="str">
        <f t="shared" si="1"/>
        <v>I</v>
      </c>
      <c r="C18" s="10">
        <f t="shared" si="2"/>
        <v>54631.06</v>
      </c>
      <c r="D18" s="12" t="str">
        <f t="shared" si="3"/>
        <v>vis</v>
      </c>
      <c r="E18" s="40">
        <f>VLOOKUP(C18,Active!C$21:E$973,3,FALSE)</f>
        <v>490.00102848981913</v>
      </c>
      <c r="F18" s="3" t="s">
        <v>53</v>
      </c>
      <c r="G18" s="12" t="str">
        <f t="shared" si="4"/>
        <v>54631.06000</v>
      </c>
      <c r="H18" s="10">
        <f t="shared" si="5"/>
        <v>693</v>
      </c>
      <c r="I18" s="41" t="s">
        <v>85</v>
      </c>
      <c r="J18" s="42" t="s">
        <v>86</v>
      </c>
      <c r="K18" s="41">
        <v>693</v>
      </c>
      <c r="L18" s="41" t="s">
        <v>87</v>
      </c>
      <c r="M18" s="42" t="s">
        <v>64</v>
      </c>
      <c r="N18" s="42" t="s">
        <v>53</v>
      </c>
      <c r="O18" s="43" t="s">
        <v>65</v>
      </c>
      <c r="P18" s="44" t="s">
        <v>66</v>
      </c>
    </row>
    <row r="19" spans="1:16" ht="12.75" customHeight="1" thickBot="1" x14ac:dyDescent="0.25">
      <c r="A19" s="10" t="str">
        <f t="shared" si="0"/>
        <v> AN 247.281 </v>
      </c>
      <c r="B19" s="3" t="str">
        <f t="shared" si="1"/>
        <v>I</v>
      </c>
      <c r="C19" s="10">
        <f t="shared" si="2"/>
        <v>33357.269</v>
      </c>
      <c r="D19" s="12" t="str">
        <f t="shared" si="3"/>
        <v>vis</v>
      </c>
      <c r="E19" s="40">
        <f>VLOOKUP(C19,Active!C$21:E$973,3,FALSE)</f>
        <v>-6434.0108238789289</v>
      </c>
      <c r="F19" s="3" t="s">
        <v>53</v>
      </c>
      <c r="G19" s="12" t="str">
        <f t="shared" si="4"/>
        <v>33357.269</v>
      </c>
      <c r="H19" s="10">
        <f t="shared" si="5"/>
        <v>-6229</v>
      </c>
      <c r="I19" s="41" t="s">
        <v>55</v>
      </c>
      <c r="J19" s="42" t="s">
        <v>56</v>
      </c>
      <c r="K19" s="41">
        <v>-6229</v>
      </c>
      <c r="L19" s="41" t="s">
        <v>57</v>
      </c>
      <c r="M19" s="42" t="s">
        <v>58</v>
      </c>
      <c r="N19" s="42"/>
      <c r="O19" s="43" t="s">
        <v>59</v>
      </c>
      <c r="P19" s="43" t="s">
        <v>60</v>
      </c>
    </row>
    <row r="20" spans="1:16" x14ac:dyDescent="0.2">
      <c r="B20" s="3"/>
      <c r="E20" s="40"/>
      <c r="F20" s="3"/>
    </row>
    <row r="21" spans="1:16" x14ac:dyDescent="0.2">
      <c r="B21" s="3"/>
      <c r="E21" s="40"/>
      <c r="F21" s="3"/>
    </row>
    <row r="22" spans="1:16" x14ac:dyDescent="0.2">
      <c r="B22" s="3"/>
      <c r="E22" s="40"/>
      <c r="F22" s="3"/>
    </row>
    <row r="23" spans="1:16" x14ac:dyDescent="0.2">
      <c r="B23" s="3"/>
      <c r="E23" s="40"/>
      <c r="F23" s="3"/>
    </row>
    <row r="24" spans="1:16" x14ac:dyDescent="0.2">
      <c r="B24" s="3"/>
      <c r="E24" s="40"/>
      <c r="F24" s="3"/>
    </row>
    <row r="25" spans="1:16" x14ac:dyDescent="0.2">
      <c r="B25" s="3"/>
      <c r="E25" s="40"/>
      <c r="F25" s="3"/>
    </row>
    <row r="26" spans="1:16" x14ac:dyDescent="0.2">
      <c r="B26" s="3"/>
      <c r="E26" s="40"/>
      <c r="F26" s="3"/>
    </row>
    <row r="27" spans="1:16" x14ac:dyDescent="0.2">
      <c r="B27" s="3"/>
      <c r="E27" s="40"/>
      <c r="F27" s="3"/>
    </row>
    <row r="28" spans="1:16" x14ac:dyDescent="0.2">
      <c r="B28" s="3"/>
      <c r="E28" s="40"/>
      <c r="F28" s="3"/>
    </row>
    <row r="29" spans="1:16" x14ac:dyDescent="0.2">
      <c r="B29" s="3"/>
      <c r="E29" s="40"/>
      <c r="F29" s="3"/>
    </row>
    <row r="30" spans="1:16" x14ac:dyDescent="0.2">
      <c r="B30" s="3"/>
      <c r="E30" s="40"/>
      <c r="F30" s="3"/>
    </row>
    <row r="31" spans="1:16" x14ac:dyDescent="0.2">
      <c r="B31" s="3"/>
      <c r="E31" s="40"/>
      <c r="F31" s="3"/>
    </row>
    <row r="32" spans="1:16" x14ac:dyDescent="0.2">
      <c r="B32" s="3"/>
      <c r="E32" s="40"/>
      <c r="F32" s="3"/>
    </row>
    <row r="33" spans="2:6" x14ac:dyDescent="0.2">
      <c r="B33" s="3"/>
      <c r="E33" s="40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</sheetData>
  <phoneticPr fontId="7" type="noConversion"/>
  <hyperlinks>
    <hyperlink ref="P11" r:id="rId1" display="http://www.konkoly.hu/cgi-bin/IBVS?6007" xr:uid="{00000000-0004-0000-0100-000000000000}"/>
    <hyperlink ref="P12" r:id="rId2" display="http://www.konkoly.hu/cgi-bin/IBVS?6007" xr:uid="{00000000-0004-0000-0100-000001000000}"/>
    <hyperlink ref="P13" r:id="rId3" display="http://www.konkoly.hu/cgi-bin/IBVS?6007" xr:uid="{00000000-0004-0000-0100-000002000000}"/>
    <hyperlink ref="P14" r:id="rId4" display="http://www.konkoly.hu/cgi-bin/IBVS?6007" xr:uid="{00000000-0004-0000-0100-000003000000}"/>
    <hyperlink ref="P15" r:id="rId5" display="http://www.konkoly.hu/cgi-bin/IBVS?6007" xr:uid="{00000000-0004-0000-0100-000004000000}"/>
    <hyperlink ref="P16" r:id="rId6" display="http://www.konkoly.hu/cgi-bin/IBVS?6007" xr:uid="{00000000-0004-0000-0100-000005000000}"/>
    <hyperlink ref="P17" r:id="rId7" display="http://www.konkoly.hu/cgi-bin/IBVS?6007" xr:uid="{00000000-0004-0000-0100-000006000000}"/>
    <hyperlink ref="P18" r:id="rId8" display="http://www.konkoly.hu/cgi-bin/IBVS?6007" xr:uid="{00000000-0004-0000-0100-00000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2024-02-15T05:09:38Z</dcterms:modified>
</cp:coreProperties>
</file>