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C4D59FF-998C-4F35-8EE9-6591507A1A9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Q23" i="1"/>
  <c r="Q22" i="1"/>
  <c r="C8" i="1"/>
  <c r="C7" i="1"/>
  <c r="E22" i="1"/>
  <c r="F22" i="1"/>
  <c r="Q21" i="1"/>
  <c r="E23" i="1"/>
  <c r="F23" i="1"/>
  <c r="G23" i="1"/>
  <c r="J23" i="1"/>
  <c r="G22" i="1"/>
  <c r="E21" i="1"/>
  <c r="F21" i="1"/>
  <c r="G21" i="1"/>
  <c r="H21" i="1"/>
  <c r="I22" i="1"/>
  <c r="C11" i="1"/>
  <c r="C12" i="1" l="1"/>
  <c r="C16" i="1" l="1"/>
  <c r="D18" i="1" s="1"/>
  <c r="O22" i="1"/>
  <c r="O21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<sst xmlns="http://schemas.openxmlformats.org/spreadsheetml/2006/main" count="48" uniqueCount="46">
  <si>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</si>
  <si>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</si>
  <si>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</si>
  <si>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</si>
  <si>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</si>
  <si>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</si>
  <si>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</si>
  <si>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</si>
  <si>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</si>
  <si>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</si>
  <si>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</si>
  <si>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</si>
  <si>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</si>
  <si>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</si>
  <si>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</si>
  <si>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</si>
  <si>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</si>
  <si>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</si>
  <si>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</si>
  <si>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</si>
  <si>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</si>
  <si>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</si>
  <si>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</si>
  <si>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</si>
  <si>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</si>
  <si>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</si>
  <si>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</si>
  <si>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</si>
  <si>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</si>
  <si>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Bull.33</t>
  </si>
  <si>
    <t>B</t>
  </si>
  <si>
    <t>BBSAG</t>
  </si>
  <si>
    <t># of data points:</t>
  </si>
  <si>
    <t>EW:</t>
  </si>
  <si>
    <t>UY Hya / gsc 0229-0370?</t>
  </si>
  <si>
    <t>OEJV0094</t>
  </si>
  <si>
    <t>I</t>
  </si>
  <si>
    <t>OEJV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</si>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</sst>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Hya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23733</c:v>
                </c:pt>
                <c:pt idx="2">
                  <c:v>39230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8B-4337-B9EC-CA6A5F14C9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23733</c:v>
                </c:pt>
                <c:pt idx="2">
                  <c:v>39230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-5.0000000192085281E-4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B-4337-B9EC-CA6A5F14C9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23733</c:v>
                </c:pt>
                <c:pt idx="2">
                  <c:v>39230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6.4909999993687961E-2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8B-4337-B9EC-CA6A5F14C9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23733</c:v>
                </c:pt>
                <c:pt idx="2">
                  <c:v>39230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8B-4337-B9EC-CA6A5F14C9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23733</c:v>
                </c:pt>
                <c:pt idx="2">
                  <c:v>39230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8B-4337-B9EC-CA6A5F14C9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23733</c:v>
                </c:pt>
                <c:pt idx="2">
                  <c:v>39230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8B-4337-B9EC-CA6A5F14C9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23733</c:v>
                </c:pt>
                <c:pt idx="2">
                  <c:v>39230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8B-4337-B9EC-CA6A5F14C9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23733</c:v>
                </c:pt>
                <c:pt idx="2">
                  <c:v>39230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-0.10067264824969679</c:v>
                </c:pt>
                <c:pt idx="1">
                  <c:v>-5.0000000192083893E-4</c:v>
                </c:pt>
                <c:pt idx="2">
                  <c:v>6.4909999993687961E-2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8B-4337-B9EC-CA6A5F14C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6176"/>
        <c:axId val="1"/>
      </c:scatterChart>
      <c:valAx>
        <c:axId val="71019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196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330578512396695E-2"/>
          <c:y val="0.91874999999999996"/>
          <c:w val="0.9814060432528578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17</xdr:col>
      <xdr:colOff>342900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A42D39-846B-C1DA-1A18-2BC4A66C6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34</v>
      </c>
    </row>
    <row r="2" spans="1:7">
      <c r="A2" t="s">
        <v>24</v>
      </c>
      <c r="B2" s="9" t="s">
        <v>33</v>
      </c>
    </row>
    <row r="4" spans="1:7">
      <c r="A4" s="6" t="s">
        <v>0</v>
      </c>
      <c r="C4" s="3">
        <v>25984.597000000002</v>
      </c>
      <c r="D4" s="4">
        <v>0.72750000000000004</v>
      </c>
    </row>
    <row r="6" spans="1:7">
      <c r="A6" s="6" t="s">
        <v>1</v>
      </c>
    </row>
    <row r="7" spans="1:7">
      <c r="A7" t="s">
        <v>2</v>
      </c>
      <c r="C7">
        <f>+C4</f>
        <v>25984.597000000002</v>
      </c>
    </row>
    <row r="8" spans="1:7">
      <c r="A8" t="s">
        <v>3</v>
      </c>
      <c r="C8">
        <f>+D4</f>
        <v>0.72750000000000004</v>
      </c>
    </row>
    <row r="9" spans="1:7">
      <c r="A9" s="15" t="s">
        <v>38</v>
      </c>
      <c r="B9" s="16"/>
      <c r="C9" s="17">
        <v>-9.5</v>
      </c>
      <c r="D9" s="16" t="s">
        <v>39</v>
      </c>
      <c r="E9" s="16"/>
    </row>
    <row r="10" spans="1:7" ht="13.5" thickBot="1">
      <c r="A10" s="16"/>
      <c r="B10" s="16"/>
      <c r="C10" s="5" t="s">
        <v>20</v>
      </c>
      <c r="D10" s="5" t="s">
        <v>21</v>
      </c>
      <c r="E10" s="16"/>
    </row>
    <row r="11" spans="1:7">
      <c r="A11" s="16" t="s">
        <v>16</v>
      </c>
      <c r="B11" s="16"/>
      <c r="C11" s="18">
        <f ca="1">INTERCEPT(INDIRECT($G$11):G992,INDIRECT($F$11):F992)</f>
        <v>-0.10067264824969679</v>
      </c>
      <c r="D11" s="19"/>
      <c r="E11" s="16"/>
      <c r="F11" s="20" t="str">
        <f>"F"&amp;E19</f>
        <v>F22</v>
      </c>
      <c r="G11" s="21" t="str">
        <f>"G"&amp;E19</f>
        <v>G22</v>
      </c>
    </row>
    <row r="12" spans="1:7">
      <c r="A12" s="16" t="s">
        <v>17</v>
      </c>
      <c r="B12" s="16"/>
      <c r="C12" s="18">
        <f ca="1">SLOPE(INDIRECT($G$11):G992,INDIRECT($F$11):F992)</f>
        <v>4.220816932026122E-6</v>
      </c>
      <c r="D12" s="19"/>
      <c r="E12" s="16"/>
    </row>
    <row r="13" spans="1:7">
      <c r="A13" s="16" t="s">
        <v>19</v>
      </c>
      <c r="B13" s="16"/>
      <c r="C13" s="19" t="s">
        <v>14</v>
      </c>
      <c r="D13" s="19"/>
      <c r="E13" s="16"/>
    </row>
    <row r="14" spans="1:7">
      <c r="A14" s="16"/>
      <c r="B14" s="16"/>
      <c r="C14" s="16"/>
      <c r="D14" s="16"/>
      <c r="E14" s="16"/>
    </row>
    <row r="15" spans="1:7">
      <c r="A15" s="22" t="s">
        <v>18</v>
      </c>
      <c r="B15" s="16"/>
      <c r="C15" s="23">
        <f ca="1">(C7+C11)+(C8+C12)*INT(MAX(F21:F3533))</f>
        <v>54524.48691</v>
      </c>
      <c r="D15" s="24" t="s">
        <v>40</v>
      </c>
      <c r="E15" s="25">
        <f ca="1">TODAY()+15018.5-B9/24</f>
        <v>60355.5</v>
      </c>
    </row>
    <row r="16" spans="1:7">
      <c r="A16" s="26" t="s">
        <v>4</v>
      </c>
      <c r="B16" s="16"/>
      <c r="C16" s="27">
        <f ca="1">+C8+C12</f>
        <v>0.72750422081693211</v>
      </c>
      <c r="D16" s="24" t="s">
        <v>41</v>
      </c>
      <c r="E16" s="25">
        <f ca="1">ROUND(2*(E15-C15)/C16,0)/2+1</f>
        <v>8016</v>
      </c>
    </row>
    <row r="17" spans="1:30" ht="13.5" thickBot="1">
      <c r="A17" s="24" t="s">
        <v>32</v>
      </c>
      <c r="B17" s="16"/>
      <c r="C17" s="16">
        <f>COUNT(C21:C2191)</f>
        <v>3</v>
      </c>
      <c r="D17" s="24" t="s">
        <v>42</v>
      </c>
      <c r="E17" s="28">
        <f ca="1">+C15+C16*E16-15018.5-C9/24</f>
        <v>45338.056577401861</v>
      </c>
    </row>
    <row r="18" spans="1:30">
      <c r="A18" s="26" t="s">
        <v>5</v>
      </c>
      <c r="B18" s="16"/>
      <c r="C18" s="29">
        <f ca="1">+C15</f>
        <v>54524.48691</v>
      </c>
      <c r="D18" s="30">
        <f ca="1">+C16</f>
        <v>0.72750422081693211</v>
      </c>
      <c r="E18" s="31" t="s">
        <v>43</v>
      </c>
    </row>
    <row r="19" spans="1:30" ht="13.5" thickTop="1">
      <c r="A19" s="32" t="s">
        <v>44</v>
      </c>
      <c r="E19" s="33">
        <v>22</v>
      </c>
    </row>
    <row r="20" spans="1:30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31</v>
      </c>
      <c r="J20" s="8" t="s">
        <v>37</v>
      </c>
      <c r="K20" s="8" t="s">
        <v>45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>
      <c r="A21" t="s">
        <v>12</v>
      </c>
      <c r="C21" s="10">
        <v>25984.597000000002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-0.10067264824969679</v>
      </c>
      <c r="Q21" s="2">
        <f>+C21-15018.5</f>
        <v>10966.097000000002</v>
      </c>
    </row>
    <row r="22" spans="1:30">
      <c r="A22" t="s">
        <v>29</v>
      </c>
      <c r="C22" s="11">
        <v>43250.353999999999</v>
      </c>
      <c r="D22" s="10"/>
      <c r="E22">
        <f>+(C22-C$7)/C$8</f>
        <v>23732.999312714772</v>
      </c>
      <c r="F22">
        <f>ROUND(2*E22,0)/2</f>
        <v>23733</v>
      </c>
      <c r="G22">
        <f>+C22-(C$7+F22*C$8)</f>
        <v>-5.0000000192085281E-4</v>
      </c>
      <c r="I22">
        <f>+G22</f>
        <v>-5.0000000192085281E-4</v>
      </c>
      <c r="O22">
        <f ca="1">+C$11+C$12*$F22</f>
        <v>-5.0000000192083893E-4</v>
      </c>
      <c r="Q22" s="2">
        <f>+C22-15018.5</f>
        <v>28231.853999999999</v>
      </c>
      <c r="AA22">
        <v>9</v>
      </c>
      <c r="AB22" t="s">
        <v>28</v>
      </c>
      <c r="AD22" t="s">
        <v>30</v>
      </c>
    </row>
    <row r="23" spans="1:30">
      <c r="A23" s="12" t="s">
        <v>35</v>
      </c>
      <c r="B23" s="13" t="s">
        <v>36</v>
      </c>
      <c r="C23" s="14">
        <v>54524.48691</v>
      </c>
      <c r="D23" s="14">
        <v>4.0000000000000002E-4</v>
      </c>
      <c r="E23">
        <f>+(C23-C$7)/C$8</f>
        <v>39230.089223367693</v>
      </c>
      <c r="F23">
        <f>ROUND(2*E23,0)/2</f>
        <v>39230</v>
      </c>
      <c r="G23">
        <f>+C23-(C$7+F23*C$8)</f>
        <v>6.4909999993687961E-2</v>
      </c>
      <c r="J23">
        <f>+G23</f>
        <v>6.4909999993687961E-2</v>
      </c>
      <c r="O23">
        <f ca="1">+C$11+C$12*$F23</f>
        <v>6.4909999993687961E-2</v>
      </c>
      <c r="Q23" s="2">
        <f>+C23-15018.5</f>
        <v>39505.98691</v>
      </c>
    </row>
    <row r="24" spans="1:30">
      <c r="C24" s="10"/>
      <c r="D24" s="10"/>
      <c r="Q24" s="2"/>
    </row>
    <row r="25" spans="1:30">
      <c r="C25" s="10"/>
      <c r="D25" s="10"/>
      <c r="Q25" s="2"/>
    </row>
    <row r="26" spans="1:30">
      <c r="C26" s="10"/>
      <c r="D26" s="10"/>
      <c r="Q26" s="2"/>
    </row>
    <row r="27" spans="1:30">
      <c r="C27" s="10"/>
      <c r="D27" s="10"/>
      <c r="Q27" s="2"/>
    </row>
    <row r="28" spans="1:30">
      <c r="C28" s="10"/>
      <c r="D28" s="10"/>
    </row>
    <row r="29" spans="1:30">
      <c r="C29" s="10"/>
      <c r="D29" s="10"/>
    </row>
    <row r="30" spans="1:30">
      <c r="C30" s="10"/>
      <c r="D30" s="10"/>
    </row>
    <row r="31" spans="1:30">
      <c r="C31" s="10"/>
      <c r="D31" s="10"/>
    </row>
    <row r="32" spans="1:30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2024-02-15T05:24:27Z</dcterms:modified>
</cp:coreProperties>
</file>