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1F86071-76A2-4A98-B874-71AEF67712C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G21" i="1"/>
  <c r="H21" i="1"/>
  <c r="E21" i="1"/>
  <c r="F21" i="1"/>
  <c r="A21" i="1"/>
  <c r="H20" i="1"/>
  <c r="E14" i="1"/>
  <c r="C17" i="1"/>
  <c r="Q21" i="1"/>
  <c r="C12" i="1"/>
  <c r="C16" i="1" l="1"/>
  <c r="D18" i="1" s="1"/>
  <c r="E15" i="1"/>
  <c r="C11" i="1"/>
  <c r="O25" i="1" l="1"/>
  <c r="S25" i="1" s="1"/>
  <c r="O21" i="1"/>
  <c r="S21" i="1" s="1"/>
  <c r="O22" i="1"/>
  <c r="S22" i="1" s="1"/>
  <c r="O23" i="1"/>
  <c r="S23" i="1" s="1"/>
  <c r="C15" i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<sst xmlns="http://schemas.openxmlformats.org/spreadsheetml/2006/main" count="60" uniqueCount="54">
  <si>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</si>
  <si>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</si>
  <si>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</si>
  <si>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</si>
  <si>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</si>
  <si>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</si>
  <si>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</si>
  <si>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</si>
  <si>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</si>
  <si>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</si>
  <si>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</si>
  <si>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</si>
  <si>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</si>
  <si>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</si>
  <si>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</si>
  <si>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</si>
  <si>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</si>
  <si>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</si>
  <si>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</si>
  <si>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</si>
  <si>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</si>
  <si>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</si>
  <si>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</si>
  <si>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</si>
  <si>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</si>
  <si>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</si>
  <si>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</si>
  <si>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</si>
  <si>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</si>
  <si>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</si>
  <si>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</si>
  <si>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</si>
  <si>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</si>
  <si>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</si>
  <si>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</si>
  <si>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</si>
  <si>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</si>
  <si>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</si>
  <si>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</si>
  <si>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</si>
  <si>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</si>
  <si>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</si>
  <si>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G4887-1149</t>
  </si>
  <si>
    <t>EC</t>
  </si>
  <si>
    <t>VSX</t>
  </si>
  <si>
    <t>IBVS 5945</t>
  </si>
  <si>
    <t>I</t>
  </si>
  <si>
    <t>IBVS 5992</t>
  </si>
  <si>
    <t>II</t>
  </si>
  <si>
    <t>IBVS 6029</t>
  </si>
  <si>
    <t>Hya</t>
  </si>
  <si>
    <t>G4887-1149_Hya.xls</t>
  </si>
  <si>
    <t>V0573 Hya / GSC 4887-1149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</si>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</sst>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V0573 Hya - O-C Diagr.</a:t>
            </a:r>
          </a:p>
        </c:rich>
      </c:tx>
      <c:layout>
        <c:manualLayout>
          <c:xMode val="edge"/>
          <c:yMode val="edge"/>
          <c:x val="0.33734335839599"/>
          <c:y val="3.9100684261974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</c:v>
                </c:pt>
                <c:pt idx="2">
                  <c:v>2341.5</c:v>
                </c:pt>
                <c:pt idx="3">
                  <c:v>3433.5</c:v>
                </c:pt>
                <c:pt idx="4">
                  <c:v>3427.5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79-49EA-B14B-AF933B7ABE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</c:v>
                </c:pt>
                <c:pt idx="2">
                  <c:v>2341.5</c:v>
                </c:pt>
                <c:pt idx="3">
                  <c:v>3433.5</c:v>
                </c:pt>
                <c:pt idx="4">
                  <c:v>3427.5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-7.0839999534655362E-3</c:v>
                </c:pt>
                <c:pt idx="2">
                  <c:v>-9.3519999500131235E-3</c:v>
                </c:pt>
                <c:pt idx="3">
                  <c:v>-9.7479999458300881E-3</c:v>
                </c:pt>
                <c:pt idx="4">
                  <c:v>-1.041999994777143E-2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79-49EA-B14B-AF933B7ABE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</c:v>
                </c:pt>
                <c:pt idx="2">
                  <c:v>2341.5</c:v>
                </c:pt>
                <c:pt idx="3">
                  <c:v>3433.5</c:v>
                </c:pt>
                <c:pt idx="4">
                  <c:v>3427.5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79-49EA-B14B-AF933B7ABE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</c:v>
                </c:pt>
                <c:pt idx="2">
                  <c:v>2341.5</c:v>
                </c:pt>
                <c:pt idx="3">
                  <c:v>3433.5</c:v>
                </c:pt>
                <c:pt idx="4">
                  <c:v>3427.5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79-49EA-B14B-AF933B7ABE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</c:v>
                </c:pt>
                <c:pt idx="2">
                  <c:v>2341.5</c:v>
                </c:pt>
                <c:pt idx="3">
                  <c:v>3433.5</c:v>
                </c:pt>
                <c:pt idx="4">
                  <c:v>3427.5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79-49EA-B14B-AF933B7ABE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</c:v>
                </c:pt>
                <c:pt idx="2">
                  <c:v>2341.5</c:v>
                </c:pt>
                <c:pt idx="3">
                  <c:v>3433.5</c:v>
                </c:pt>
                <c:pt idx="4">
                  <c:v>3427.5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79-49EA-B14B-AF933B7ABE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</c:v>
                </c:pt>
                <c:pt idx="2">
                  <c:v>2341.5</c:v>
                </c:pt>
                <c:pt idx="3">
                  <c:v>3433.5</c:v>
                </c:pt>
                <c:pt idx="4">
                  <c:v>3427.5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79-49EA-B14B-AF933B7ABE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</c:v>
                </c:pt>
                <c:pt idx="2">
                  <c:v>2341.5</c:v>
                </c:pt>
                <c:pt idx="3">
                  <c:v>3433.5</c:v>
                </c:pt>
                <c:pt idx="4">
                  <c:v>3427.5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-5.8840754884155943E-3</c:v>
                </c:pt>
                <c:pt idx="1">
                  <c:v>-7.3278315789889401E-3</c:v>
                </c:pt>
                <c:pt idx="2">
                  <c:v>-8.8416913117554796E-3</c:v>
                </c:pt>
                <c:pt idx="3">
                  <c:v>-1.0221027839232377E-2</c:v>
                </c:pt>
                <c:pt idx="4">
                  <c:v>-1.0213449067103381E-2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79-49EA-B14B-AF933B7ABE4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</c:v>
                </c:pt>
                <c:pt idx="2">
                  <c:v>2341.5</c:v>
                </c:pt>
                <c:pt idx="3">
                  <c:v>3433.5</c:v>
                </c:pt>
                <c:pt idx="4">
                  <c:v>3427.5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79-49EA-B14B-AF933B7AB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253032"/>
        <c:axId val="1"/>
      </c:scatterChart>
      <c:valAx>
        <c:axId val="68725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25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A480E7-7C7F-8684-A24D-1D7823148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52</v>
      </c>
      <c r="E1" t="s">
        <v>51</v>
      </c>
    </row>
    <row r="2" spans="1:7" x14ac:dyDescent="0.2">
      <c r="A2" t="s">
        <v>24</v>
      </c>
      <c r="B2" t="s">
        <v>43</v>
      </c>
      <c r="C2" s="30" t="s">
        <v>41</v>
      </c>
      <c r="D2" s="36" t="s">
        <v>50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3" t="s">
        <v>0</v>
      </c>
      <c r="C4" s="27" t="s">
        <v>40</v>
      </c>
      <c r="D4" s="28" t="s">
        <v>40</v>
      </c>
    </row>
    <row r="6" spans="1:7" x14ac:dyDescent="0.2">
      <c r="A6" s="3" t="s">
        <v>1</v>
      </c>
    </row>
    <row r="7" spans="1:7" x14ac:dyDescent="0.2">
      <c r="A7" t="s">
        <v>2</v>
      </c>
      <c r="C7" s="38">
        <v>54856.743999999948</v>
      </c>
      <c r="D7" s="29" t="s">
        <v>44</v>
      </c>
    </row>
    <row r="8" spans="1:7" x14ac:dyDescent="0.2">
      <c r="A8" t="s">
        <v>3</v>
      </c>
      <c r="C8" s="38">
        <v>0.336088</v>
      </c>
      <c r="D8" s="29" t="s">
        <v>44</v>
      </c>
    </row>
    <row r="9" spans="1:7" x14ac:dyDescent="0.2">
      <c r="A9" s="7" t="s">
        <v>30</v>
      </c>
      <c r="B9" s="8"/>
      <c r="C9" s="9">
        <v>-9.5</v>
      </c>
      <c r="D9" s="8" t="s">
        <v>31</v>
      </c>
      <c r="E9" s="8"/>
    </row>
    <row r="10" spans="1:7" ht="13.5" thickBot="1" x14ac:dyDescent="0.25">
      <c r="A10" s="8"/>
      <c r="B10" s="8"/>
      <c r="C10" s="2" t="s">
        <v>20</v>
      </c>
      <c r="D10" s="2" t="s">
        <v>21</v>
      </c>
      <c r="E10" s="8"/>
    </row>
    <row r="11" spans="1:7" x14ac:dyDescent="0.2">
      <c r="A11" s="8" t="s">
        <v>15</v>
      </c>
      <c r="B11" s="8"/>
      <c r="C11" s="21">
        <f ca="1">INTERCEPT(INDIRECT($G$11):G992,INDIRECT($F$11):F992)</f>
        <v>-5.8840754884155943E-3</v>
      </c>
      <c r="D11" s="10"/>
      <c r="E11" s="8"/>
      <c r="F11" s="22" t="str">
        <f>"F"&amp;E19</f>
        <v>F22</v>
      </c>
      <c r="G11" s="23" t="str">
        <f>"G"&amp;E19</f>
        <v>G22</v>
      </c>
    </row>
    <row r="12" spans="1:7" x14ac:dyDescent="0.2">
      <c r="A12" s="8" t="s">
        <v>16</v>
      </c>
      <c r="B12" s="8"/>
      <c r="C12" s="21">
        <f ca="1">SLOPE(INDIRECT($G$11):G992,INDIRECT($F$11):F992)</f>
        <v>-1.2631286881656567E-6</v>
      </c>
      <c r="D12" s="10"/>
      <c r="E12" s="8"/>
    </row>
    <row r="13" spans="1:7" x14ac:dyDescent="0.2">
      <c r="A13" s="8" t="s">
        <v>19</v>
      </c>
      <c r="B13" s="8"/>
      <c r="C13" s="10" t="s">
        <v>13</v>
      </c>
      <c r="D13" s="13" t="s">
        <v>37</v>
      </c>
      <c r="E13" s="9">
        <v>1</v>
      </c>
    </row>
    <row r="14" spans="1:7" x14ac:dyDescent="0.2">
      <c r="A14" s="8"/>
      <c r="B14" s="8"/>
      <c r="C14" s="8"/>
      <c r="D14" s="13" t="s">
        <v>32</v>
      </c>
      <c r="E14" s="14">
        <f ca="1">NOW()+15018.5+$C$9/24</f>
        <v>60355.788761226846</v>
      </c>
    </row>
    <row r="15" spans="1:7" x14ac:dyDescent="0.2">
      <c r="A15" s="11" t="s">
        <v>17</v>
      </c>
      <c r="B15" s="8"/>
      <c r="C15" s="12">
        <f ca="1">(C7+C11)+(C8+C12)*INT(MAX(F21:F3533))</f>
        <v>56010.523883603673</v>
      </c>
      <c r="D15" s="13" t="s">
        <v>38</v>
      </c>
      <c r="E15" s="14">
        <f ca="1">ROUND(2*(E14-$C$7)/$C$8,0)/2+E13</f>
        <v>16363</v>
      </c>
    </row>
    <row r="16" spans="1:7" x14ac:dyDescent="0.2">
      <c r="A16" s="15" t="s">
        <v>4</v>
      </c>
      <c r="B16" s="8"/>
      <c r="C16" s="16">
        <f ca="1">+C8+C12</f>
        <v>0.33608673687131185</v>
      </c>
      <c r="D16" s="13" t="s">
        <v>39</v>
      </c>
      <c r="E16" s="23">
        <f ca="1">ROUND(2*(E14-$C$15)/$C$16,0)/2+E13</f>
        <v>12930</v>
      </c>
    </row>
    <row r="17" spans="1:19" ht="13.5" thickBot="1" x14ac:dyDescent="0.25">
      <c r="A17" s="13" t="s">
        <v>29</v>
      </c>
      <c r="B17" s="8"/>
      <c r="C17" s="8">
        <f>COUNT(C21:C2191)</f>
        <v>5</v>
      </c>
      <c r="D17" s="13" t="s">
        <v>33</v>
      </c>
      <c r="E17" s="17">
        <f ca="1">+$C$15+$C$16*E16-15018.5-$C$9/24</f>
        <v>45338.021224683071</v>
      </c>
    </row>
    <row r="18" spans="1:19" ht="14.25" thickTop="1" thickBot="1" x14ac:dyDescent="0.25">
      <c r="A18" s="15" t="s">
        <v>5</v>
      </c>
      <c r="B18" s="8"/>
      <c r="C18" s="18">
        <f ca="1">+C15</f>
        <v>56010.523883603673</v>
      </c>
      <c r="D18" s="19">
        <f ca="1">+C16</f>
        <v>0.33608673687131185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2.9668430939089247E-3</v>
      </c>
    </row>
    <row r="20" spans="1:19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5" t="str">
        <f>A21</f>
        <v>VSX</v>
      </c>
      <c r="I20" s="5" t="s">
        <v>53</v>
      </c>
      <c r="J20" s="5" t="s">
        <v>18</v>
      </c>
      <c r="K20" s="5" t="s">
        <v>25</v>
      </c>
      <c r="L20" s="5" t="s">
        <v>26</v>
      </c>
      <c r="M20" s="5" t="s">
        <v>27</v>
      </c>
      <c r="N20" s="5" t="s">
        <v>28</v>
      </c>
      <c r="O20" s="5" t="s">
        <v>23</v>
      </c>
      <c r="P20" s="4" t="s">
        <v>22</v>
      </c>
      <c r="Q20" s="2" t="s">
        <v>14</v>
      </c>
      <c r="R20" s="26" t="s">
        <v>36</v>
      </c>
    </row>
    <row r="21" spans="1:19" x14ac:dyDescent="0.2">
      <c r="A21" t="str">
        <f>D7</f>
        <v>VSX</v>
      </c>
      <c r="C21" s="6">
        <f>C$7</f>
        <v>54856.743999999948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-5.8840754884155943E-3</v>
      </c>
      <c r="Q21" s="1">
        <f>+C21-15018.5</f>
        <v>39838.243999999948</v>
      </c>
      <c r="S21">
        <f ca="1">+(O21-G21)^2</f>
        <v>3.4622344353373217E-5</v>
      </c>
    </row>
    <row r="22" spans="1:19" x14ac:dyDescent="0.2">
      <c r="A22" s="32" t="s">
        <v>45</v>
      </c>
      <c r="B22" s="33" t="s">
        <v>46</v>
      </c>
      <c r="C22" s="32">
        <v>55240.885499999997</v>
      </c>
      <c r="D22" s="32">
        <v>4.0000000000000002E-4</v>
      </c>
      <c r="E22">
        <f>+(C22-C$7)/C$8</f>
        <v>1142.9789221871915</v>
      </c>
      <c r="F22">
        <f>ROUND(2*E22,0)/2</f>
        <v>1143</v>
      </c>
      <c r="G22">
        <f>+C22-(C$7+F22*C$8)</f>
        <v>-7.0839999534655362E-3</v>
      </c>
      <c r="I22">
        <f>+G22</f>
        <v>-7.0839999534655362E-3</v>
      </c>
      <c r="O22">
        <f ca="1">+C$11+C$12*$F22</f>
        <v>-7.3278315789889401E-3</v>
      </c>
      <c r="Q22" s="1">
        <f>+C22-15018.5</f>
        <v>40222.385499999997</v>
      </c>
      <c r="S22">
        <f ca="1">+(O22-G22)^2</f>
        <v>5.9453861605385429E-8</v>
      </c>
    </row>
    <row r="23" spans="1:19" x14ac:dyDescent="0.2">
      <c r="A23" s="32" t="s">
        <v>47</v>
      </c>
      <c r="B23" s="33" t="s">
        <v>48</v>
      </c>
      <c r="C23" s="32">
        <v>55643.684699999998</v>
      </c>
      <c r="D23" s="32">
        <v>2.9999999999999997E-4</v>
      </c>
      <c r="E23">
        <f>+(C23-C$7)/C$8</f>
        <v>2341.4721739545898</v>
      </c>
      <c r="F23">
        <f>ROUND(2*E23,0)/2</f>
        <v>2341.5</v>
      </c>
      <c r="G23">
        <f>+C23-(C$7+F23*C$8)</f>
        <v>-9.3519999500131235E-3</v>
      </c>
      <c r="I23">
        <f>+G23</f>
        <v>-9.3519999500131235E-3</v>
      </c>
      <c r="O23">
        <f ca="1">+C$11+C$12*$F23</f>
        <v>-8.8416913117554796E-3</v>
      </c>
      <c r="Q23" s="1">
        <f>+C23-15018.5</f>
        <v>40625.184699999998</v>
      </c>
      <c r="S23">
        <f ca="1">+(O23-G23)^2</f>
        <v>2.6041490628037087E-7</v>
      </c>
    </row>
    <row r="24" spans="1:19" x14ac:dyDescent="0.2">
      <c r="A24" s="34" t="s">
        <v>49</v>
      </c>
      <c r="B24" s="35" t="s">
        <v>48</v>
      </c>
      <c r="C24" s="34">
        <v>56010.6924</v>
      </c>
      <c r="D24" s="34">
        <v>2.0000000000000001E-4</v>
      </c>
      <c r="E24">
        <f>+(C24-C$7)/C$8</f>
        <v>3433.4709956917595</v>
      </c>
      <c r="F24">
        <f>ROUND(2*E24,0)/2</f>
        <v>3433.5</v>
      </c>
      <c r="G24">
        <f>+C24-(C$7+F24*C$8)</f>
        <v>-9.7479999458300881E-3</v>
      </c>
      <c r="I24">
        <f>+G24</f>
        <v>-9.7479999458300881E-3</v>
      </c>
      <c r="O24">
        <f ca="1">+C$11+C$12*$F24</f>
        <v>-1.0221027839232377E-2</v>
      </c>
      <c r="Q24" s="1">
        <f>+C24-15018.5</f>
        <v>40992.1924</v>
      </c>
      <c r="S24">
        <f ca="1">+(O24-G24)^2</f>
        <v>2.2375538793660709E-7</v>
      </c>
    </row>
    <row r="25" spans="1:19" x14ac:dyDescent="0.2">
      <c r="A25" s="34" t="s">
        <v>49</v>
      </c>
      <c r="B25" s="35" t="s">
        <v>48</v>
      </c>
      <c r="C25" s="34">
        <v>56008.675199999998</v>
      </c>
      <c r="D25" s="34">
        <v>1.5E-3</v>
      </c>
      <c r="E25">
        <f>+(C25-C$7)/C$8</f>
        <v>3427.4689962154257</v>
      </c>
      <c r="F25">
        <f>ROUND(2*E25,0)/2</f>
        <v>3427.5</v>
      </c>
      <c r="G25">
        <f>+C25-(C$7+F25*C$8)</f>
        <v>-1.041999994777143E-2</v>
      </c>
      <c r="I25">
        <f>+G25</f>
        <v>-1.041999994777143E-2</v>
      </c>
      <c r="O25">
        <f ca="1">+C$11+C$12*$F25</f>
        <v>-1.0213449067103381E-2</v>
      </c>
      <c r="Q25" s="1">
        <f>+C25-15018.5</f>
        <v>40990.175199999998</v>
      </c>
      <c r="S25">
        <f ca="1">+(O25-G25)^2</f>
        <v>4.2663266304746488E-8</v>
      </c>
    </row>
    <row r="26" spans="1:19" x14ac:dyDescent="0.2">
      <c r="C26" s="6"/>
      <c r="D26" s="6"/>
      <c r="Q26" s="1"/>
    </row>
    <row r="27" spans="1:19" x14ac:dyDescent="0.2">
      <c r="C27" s="6"/>
      <c r="D27" s="6"/>
      <c r="Q27" s="1"/>
    </row>
    <row r="28" spans="1:19" x14ac:dyDescent="0.2">
      <c r="C28" s="6"/>
      <c r="D28" s="6"/>
      <c r="Q28" s="1"/>
    </row>
    <row r="29" spans="1:19" x14ac:dyDescent="0.2">
      <c r="C29" s="6"/>
      <c r="D29" s="6"/>
      <c r="Q29" s="1"/>
    </row>
    <row r="30" spans="1:19" x14ac:dyDescent="0.2">
      <c r="C30" s="6"/>
      <c r="D30" s="6"/>
      <c r="Q30" s="1"/>
    </row>
    <row r="31" spans="1:19" x14ac:dyDescent="0.2">
      <c r="C31" s="6"/>
      <c r="D31" s="6"/>
      <c r="Q31" s="1"/>
    </row>
    <row r="32" spans="1:19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2024-02-15T05:55:49Z</dcterms:modified>
</cp:coreProperties>
</file>