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A5DF0EE-9372-4142-8B44-66FCD66A1C0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E26" i="1"/>
  <c r="F26" i="1" s="1"/>
  <c r="G26" i="1" s="1"/>
  <c r="I26" i="1" s="1"/>
  <c r="E27" i="1"/>
  <c r="F27" i="1" s="1"/>
  <c r="G27" i="1" s="1"/>
  <c r="I27" i="1" s="1"/>
  <c r="E28" i="1"/>
  <c r="F28" i="1"/>
  <c r="G28" i="1" s="1"/>
  <c r="I28" i="1" s="1"/>
  <c r="E29" i="1"/>
  <c r="F29" i="1" s="1"/>
  <c r="G29" i="1" s="1"/>
  <c r="I29" i="1" s="1"/>
  <c r="E30" i="1"/>
  <c r="F30" i="1"/>
  <c r="G30" i="1" s="1"/>
  <c r="I30" i="1" s="1"/>
  <c r="E31" i="1"/>
  <c r="F31" i="1" s="1"/>
  <c r="G31" i="1" s="1"/>
  <c r="I31" i="1" s="1"/>
  <c r="E32" i="1"/>
  <c r="F32" i="1"/>
  <c r="G32" i="1" s="1"/>
  <c r="I32" i="1" s="1"/>
  <c r="E33" i="1"/>
  <c r="F33" i="1" s="1"/>
  <c r="G33" i="1" s="1"/>
  <c r="I33" i="1" s="1"/>
  <c r="E34" i="1"/>
  <c r="F34" i="1"/>
  <c r="G34" i="1" s="1"/>
  <c r="I34" i="1" s="1"/>
  <c r="E35" i="1"/>
  <c r="F35" i="1" s="1"/>
  <c r="G35" i="1" s="1"/>
  <c r="I35" i="1" s="1"/>
  <c r="E36" i="1"/>
  <c r="F36" i="1"/>
  <c r="G36" i="1"/>
  <c r="I36" i="1" s="1"/>
  <c r="E37" i="1"/>
  <c r="F37" i="1"/>
  <c r="G37" i="1" s="1"/>
  <c r="I37" i="1" s="1"/>
  <c r="E38" i="1"/>
  <c r="F38" i="1"/>
  <c r="G38" i="1"/>
  <c r="I38" i="1" s="1"/>
  <c r="E40" i="1"/>
  <c r="F40" i="1"/>
  <c r="G40" i="1" s="1"/>
  <c r="I40" i="1" s="1"/>
  <c r="E41" i="1"/>
  <c r="F41" i="1"/>
  <c r="G41" i="1"/>
  <c r="I41" i="1" s="1"/>
  <c r="E43" i="1"/>
  <c r="F43" i="1"/>
  <c r="G43" i="1" s="1"/>
  <c r="I43" i="1" s="1"/>
  <c r="E39" i="1"/>
  <c r="F39" i="1"/>
  <c r="U39" i="1"/>
  <c r="E42" i="1"/>
  <c r="F42" i="1"/>
  <c r="G42" i="1"/>
  <c r="K42" i="1" s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Q41" i="1"/>
  <c r="Q43" i="1"/>
  <c r="G32" i="2"/>
  <c r="C32" i="2"/>
  <c r="E32" i="2"/>
  <c r="G11" i="2"/>
  <c r="C11" i="2"/>
  <c r="E11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G25" i="2"/>
  <c r="C25" i="2"/>
  <c r="E25" i="2"/>
  <c r="G24" i="2"/>
  <c r="C24" i="2"/>
  <c r="E24" i="2"/>
  <c r="G23" i="2"/>
  <c r="C23" i="2"/>
  <c r="E23" i="2"/>
  <c r="G22" i="2"/>
  <c r="C22" i="2"/>
  <c r="G21" i="2"/>
  <c r="C21" i="2"/>
  <c r="E21" i="2"/>
  <c r="G20" i="2"/>
  <c r="C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32" i="2"/>
  <c r="D32" i="2"/>
  <c r="B32" i="2"/>
  <c r="A32" i="2"/>
  <c r="H11" i="2"/>
  <c r="B11" i="2"/>
  <c r="D11" i="2"/>
  <c r="A11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Q42" i="1"/>
  <c r="F16" i="1"/>
  <c r="F17" i="1" s="1"/>
  <c r="C17" i="1"/>
  <c r="Q39" i="1"/>
  <c r="C12" i="1"/>
  <c r="C11" i="1"/>
  <c r="E22" i="2" l="1"/>
  <c r="E20" i="2"/>
  <c r="E26" i="2"/>
  <c r="O37" i="1"/>
  <c r="O42" i="1"/>
  <c r="O38" i="1"/>
  <c r="O43" i="1"/>
  <c r="O39" i="1"/>
  <c r="O40" i="1"/>
  <c r="C15" i="1"/>
  <c r="O4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<sst xmlns="http://schemas.openxmlformats.org/spreadsheetml/2006/main" count="288" uniqueCount="143">
  <si>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</si>
  <si>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</si>
  <si>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</si>
  <si>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</si>
  <si>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</si>
  <si>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</si>
  <si>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</si>
  <si>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</si>
  <si>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</si>
  <si>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</si>
  <si>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</si>
  <si>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</si>
  <si>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</si>
  <si>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</si>
  <si>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</si>
  <si>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</si>
  <si>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</si>
  <si>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</si>
  <si>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</si>
  <si>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</si>
  <si>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</si>
  <si>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</si>
  <si>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</si>
  <si>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</si>
  <si>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</si>
  <si>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</si>
  <si>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</si>
  <si>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</si>
  <si>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</si>
  <si>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</si>
  <si>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</si>
  <si>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</si>
  <si>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</si>
  <si>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</si>
  <si>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</si>
  <si>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</si>
  <si>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</si>
  <si>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</si>
  <si>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</si>
  <si>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</si>
  <si>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</si>
  <si>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BB Lac</t>
  </si>
  <si>
    <t>G3611-0298</t>
  </si>
  <si>
    <t>EA/SD</t>
  </si>
  <si>
    <t>BB Lac / GSC 3611-0298</t>
  </si>
  <si>
    <t>Kreiner</t>
  </si>
  <si>
    <t>IBVS 5984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</si>
  <si>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</si>
  <si>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</si>
  <si>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</si>
  <si>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</si>
  <si>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</si>
  <si>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</si>
  <si>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</si>
  <si>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</si>
  <si>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2417469.45 </t>
  </si>
  <si>
    <t> 15.09.1906 22:48 </t>
  </si>
  <si>
    <t> 0.33 </t>
  </si>
  <si>
    <t>P </t>
  </si>
  <si>
    <t> P.Parenago </t>
  </si>
  <si>
    <t> PZ 4.314 </t>
  </si>
  <si>
    <t>2425100.348 </t>
  </si>
  <si>
    <t> 07.08.1927 20:21 </t>
  </si>
  <si>
    <t> -0.172 </t>
  </si>
  <si>
    <t> H.van Schewick </t>
  </si>
  <si>
    <t> KVBB 24.102 </t>
  </si>
  <si>
    <t>2425127.536 </t>
  </si>
  <si>
    <t> 04.09.1927 00:51 </t>
  </si>
  <si>
    <t> -0.046 </t>
  </si>
  <si>
    <t>2425328.612 </t>
  </si>
  <si>
    <t> 23.03.1928 02:41 </t>
  </si>
  <si>
    <t> 0.000 </t>
  </si>
  <si>
    <t>V </t>
  </si>
  <si>
    <t> C.Hoffmeister </t>
  </si>
  <si>
    <t>2425448.511 </t>
  </si>
  <si>
    <t> 21.07.1928 00:15 </t>
  </si>
  <si>
    <t> 0.054 </t>
  </si>
  <si>
    <t>2425475.520 </t>
  </si>
  <si>
    <t> 17.08.1928 00:28 </t>
  </si>
  <si>
    <t> 0.002 </t>
  </si>
  <si>
    <t>2425502.580 </t>
  </si>
  <si>
    <t> 13.09.1928 01:55 </t>
  </si>
  <si>
    <t> -0.000 </t>
  </si>
  <si>
    <t>2425506.473 </t>
  </si>
  <si>
    <t> 16.09.1928 23:21 </t>
  </si>
  <si>
    <t> 0.027 </t>
  </si>
  <si>
    <t>2426631.392 </t>
  </si>
  <si>
    <t> 16.10.1931 21:24 </t>
  </si>
  <si>
    <t> -0.049 </t>
  </si>
  <si>
    <t>2437908.464 </t>
  </si>
  <si>
    <t> 31.08.1962 23:08 </t>
  </si>
  <si>
    <t> 0.018 </t>
  </si>
  <si>
    <t> Busch &amp; Häussler </t>
  </si>
  <si>
    <t> VSS 10.217 </t>
  </si>
  <si>
    <t>2437935.514 </t>
  </si>
  <si>
    <t> 28.09.1962 00:20 </t>
  </si>
  <si>
    <t> 0.006 </t>
  </si>
  <si>
    <t>2437939.391 </t>
  </si>
  <si>
    <t> 01.10.1962 21:23 </t>
  </si>
  <si>
    <t> 0.017 </t>
  </si>
  <si>
    <t>2444132.452 </t>
  </si>
  <si>
    <t> 15.09.1979 22:50 </t>
  </si>
  <si>
    <t> -0.189 </t>
  </si>
  <si>
    <t>2444136.357 </t>
  </si>
  <si>
    <t> 19.09.1979 20:34 </t>
  </si>
  <si>
    <t> -0.150 </t>
  </si>
  <si>
    <t>2444167.274 </t>
  </si>
  <si>
    <t> 20.10.1979 18:34 </t>
  </si>
  <si>
    <t> -0.161 </t>
  </si>
  <si>
    <t>2444256.233 </t>
  </si>
  <si>
    <t> 17.01.1980 17:35 </t>
  </si>
  <si>
    <t> -0.119 </t>
  </si>
  <si>
    <t>2446668.500 </t>
  </si>
  <si>
    <t> 26.08.1986 00:00 </t>
  </si>
  <si>
    <t> -0.211 </t>
  </si>
  <si>
    <t> J.Borovicka </t>
  </si>
  <si>
    <t> BRNO 28 </t>
  </si>
  <si>
    <t>2446699.433 </t>
  </si>
  <si>
    <t> 25.09.1986 22:23 </t>
  </si>
  <si>
    <t> -0.206 </t>
  </si>
  <si>
    <t>2454709.3562 </t>
  </si>
  <si>
    <t> 30.08.2008 20:32 </t>
  </si>
  <si>
    <t> -0.5518 </t>
  </si>
  <si>
    <t>C </t>
  </si>
  <si>
    <t>-I</t>
  </si>
  <si>
    <t> F.Agerer </t>
  </si>
  <si>
    <t>BAVM 203 </t>
  </si>
  <si>
    <t>2455049.5467 </t>
  </si>
  <si>
    <t> 06.08.2009 01:07 </t>
  </si>
  <si>
    <t>7688</t>
  </si>
  <si>
    <t> -0.5658 </t>
  </si>
  <si>
    <t>BAVM 212 </t>
  </si>
  <si>
    <t>2455482.5164 </t>
  </si>
  <si>
    <t> 13.10.2010 00:23 </t>
  </si>
  <si>
    <t>7800</t>
  </si>
  <si>
    <t> -0.5836 </t>
  </si>
  <si>
    <t>BAVM 215 </t>
  </si>
  <si>
    <t>2455799.5116 </t>
  </si>
  <si>
    <t> 26.08.2011 00:16 </t>
  </si>
  <si>
    <t>7882</t>
  </si>
  <si>
    <t> -0.5971 </t>
  </si>
  <si>
    <t>BAVM 225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</si>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</sst>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left" vertical="center"/>
    </xf>
    <xf numFmtId="0" fontId="19" fillId="0" borderId="0" xfId="0" applyFont="1">
      <alignment vertical="top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1" fillId="4" borderId="12" xfId="7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BB Lac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1.5E-3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1.5E-3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-9062</c:v>
                </c:pt>
                <c:pt idx="1">
                  <c:v>-7088</c:v>
                </c:pt>
                <c:pt idx="2">
                  <c:v>-7081</c:v>
                </c:pt>
                <c:pt idx="3">
                  <c:v>-7029</c:v>
                </c:pt>
                <c:pt idx="4">
                  <c:v>-6998</c:v>
                </c:pt>
                <c:pt idx="5">
                  <c:v>-6991</c:v>
                </c:pt>
                <c:pt idx="6">
                  <c:v>-6984</c:v>
                </c:pt>
                <c:pt idx="7">
                  <c:v>-6983</c:v>
                </c:pt>
                <c:pt idx="8">
                  <c:v>-6692</c:v>
                </c:pt>
                <c:pt idx="9">
                  <c:v>-3775</c:v>
                </c:pt>
                <c:pt idx="10">
                  <c:v>-3768</c:v>
                </c:pt>
                <c:pt idx="11">
                  <c:v>-3767</c:v>
                </c:pt>
                <c:pt idx="12">
                  <c:v>-2165</c:v>
                </c:pt>
                <c:pt idx="13">
                  <c:v>-2164</c:v>
                </c:pt>
                <c:pt idx="14">
                  <c:v>-2156</c:v>
                </c:pt>
                <c:pt idx="15">
                  <c:v>-2133</c:v>
                </c:pt>
                <c:pt idx="16">
                  <c:v>-1509</c:v>
                </c:pt>
                <c:pt idx="17">
                  <c:v>-1501</c:v>
                </c:pt>
                <c:pt idx="18">
                  <c:v>0</c:v>
                </c:pt>
                <c:pt idx="19">
                  <c:v>571</c:v>
                </c:pt>
                <c:pt idx="20">
                  <c:v>659</c:v>
                </c:pt>
                <c:pt idx="21">
                  <c:v>771</c:v>
                </c:pt>
                <c:pt idx="22">
                  <c:v>853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45-475E-8773-601CBE3791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1.5E-3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1.5E-3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-9062</c:v>
                </c:pt>
                <c:pt idx="1">
                  <c:v>-7088</c:v>
                </c:pt>
                <c:pt idx="2">
                  <c:v>-7081</c:v>
                </c:pt>
                <c:pt idx="3">
                  <c:v>-7029</c:v>
                </c:pt>
                <c:pt idx="4">
                  <c:v>-6998</c:v>
                </c:pt>
                <c:pt idx="5">
                  <c:v>-6991</c:v>
                </c:pt>
                <c:pt idx="6">
                  <c:v>-6984</c:v>
                </c:pt>
                <c:pt idx="7">
                  <c:v>-6983</c:v>
                </c:pt>
                <c:pt idx="8">
                  <c:v>-6692</c:v>
                </c:pt>
                <c:pt idx="9">
                  <c:v>-3775</c:v>
                </c:pt>
                <c:pt idx="10">
                  <c:v>-3768</c:v>
                </c:pt>
                <c:pt idx="11">
                  <c:v>-3767</c:v>
                </c:pt>
                <c:pt idx="12">
                  <c:v>-2165</c:v>
                </c:pt>
                <c:pt idx="13">
                  <c:v>-2164</c:v>
                </c:pt>
                <c:pt idx="14">
                  <c:v>-2156</c:v>
                </c:pt>
                <c:pt idx="15">
                  <c:v>-2133</c:v>
                </c:pt>
                <c:pt idx="16">
                  <c:v>-1509</c:v>
                </c:pt>
                <c:pt idx="17">
                  <c:v>-1501</c:v>
                </c:pt>
                <c:pt idx="18">
                  <c:v>0</c:v>
                </c:pt>
                <c:pt idx="19">
                  <c:v>571</c:v>
                </c:pt>
                <c:pt idx="20">
                  <c:v>659</c:v>
                </c:pt>
                <c:pt idx="21">
                  <c:v>771</c:v>
                </c:pt>
                <c:pt idx="22">
                  <c:v>853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-0.19855599999937112</c:v>
                </c:pt>
                <c:pt idx="1">
                  <c:v>-0.51214399999662419</c:v>
                </c:pt>
                <c:pt idx="2">
                  <c:v>-0.38517799999681301</c:v>
                </c:pt>
                <c:pt idx="3">
                  <c:v>-0.33400199999596225</c:v>
                </c:pt>
                <c:pt idx="4">
                  <c:v>-0.27672399999937625</c:v>
                </c:pt>
                <c:pt idx="5">
                  <c:v>-0.32875799999601441</c:v>
                </c:pt>
                <c:pt idx="6">
                  <c:v>-0.32979199999681441</c:v>
                </c:pt>
                <c:pt idx="7">
                  <c:v>-0.30265399999552756</c:v>
                </c:pt>
                <c:pt idx="8">
                  <c:v>-0.34949599999890779</c:v>
                </c:pt>
                <c:pt idx="9">
                  <c:v>3.0500000066240318E-3</c:v>
                </c:pt>
                <c:pt idx="10">
                  <c:v>-7.9839999962132424E-3</c:v>
                </c:pt>
                <c:pt idx="11">
                  <c:v>3.1540000054519624E-3</c:v>
                </c:pt>
                <c:pt idx="12">
                  <c:v>-4.6770000000833534E-2</c:v>
                </c:pt>
                <c:pt idx="13">
                  <c:v>-7.6319999934639782E-3</c:v>
                </c:pt>
                <c:pt idx="14">
                  <c:v>-1.7527999996673316E-2</c:v>
                </c:pt>
                <c:pt idx="15">
                  <c:v>2.6646000005712267E-2</c:v>
                </c:pt>
                <c:pt idx="16">
                  <c:v>-4.2419999954290688E-3</c:v>
                </c:pt>
                <c:pt idx="17">
                  <c:v>1.861999997345265E-3</c:v>
                </c:pt>
                <c:pt idx="19">
                  <c:v>-0.14100199999666074</c:v>
                </c:pt>
                <c:pt idx="20">
                  <c:v>-0.14635799999814481</c:v>
                </c:pt>
                <c:pt idx="22">
                  <c:v>-0.15868599999521393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45-475E-8773-601CBE3791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1.5E-3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1.5E-3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-9062</c:v>
                </c:pt>
                <c:pt idx="1">
                  <c:v>-7088</c:v>
                </c:pt>
                <c:pt idx="2">
                  <c:v>-7081</c:v>
                </c:pt>
                <c:pt idx="3">
                  <c:v>-7029</c:v>
                </c:pt>
                <c:pt idx="4">
                  <c:v>-6998</c:v>
                </c:pt>
                <c:pt idx="5">
                  <c:v>-6991</c:v>
                </c:pt>
                <c:pt idx="6">
                  <c:v>-6984</c:v>
                </c:pt>
                <c:pt idx="7">
                  <c:v>-6983</c:v>
                </c:pt>
                <c:pt idx="8">
                  <c:v>-6692</c:v>
                </c:pt>
                <c:pt idx="9">
                  <c:v>-3775</c:v>
                </c:pt>
                <c:pt idx="10">
                  <c:v>-3768</c:v>
                </c:pt>
                <c:pt idx="11">
                  <c:v>-3767</c:v>
                </c:pt>
                <c:pt idx="12">
                  <c:v>-2165</c:v>
                </c:pt>
                <c:pt idx="13">
                  <c:v>-2164</c:v>
                </c:pt>
                <c:pt idx="14">
                  <c:v>-2156</c:v>
                </c:pt>
                <c:pt idx="15">
                  <c:v>-2133</c:v>
                </c:pt>
                <c:pt idx="16">
                  <c:v>-1509</c:v>
                </c:pt>
                <c:pt idx="17">
                  <c:v>-1501</c:v>
                </c:pt>
                <c:pt idx="18">
                  <c:v>0</c:v>
                </c:pt>
                <c:pt idx="19">
                  <c:v>571</c:v>
                </c:pt>
                <c:pt idx="20">
                  <c:v>659</c:v>
                </c:pt>
                <c:pt idx="21">
                  <c:v>771</c:v>
                </c:pt>
                <c:pt idx="22">
                  <c:v>853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45-475E-8773-601CBE3791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1.5E-3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1.5E-3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-9062</c:v>
                </c:pt>
                <c:pt idx="1">
                  <c:v>-7088</c:v>
                </c:pt>
                <c:pt idx="2">
                  <c:v>-7081</c:v>
                </c:pt>
                <c:pt idx="3">
                  <c:v>-7029</c:v>
                </c:pt>
                <c:pt idx="4">
                  <c:v>-6998</c:v>
                </c:pt>
                <c:pt idx="5">
                  <c:v>-6991</c:v>
                </c:pt>
                <c:pt idx="6">
                  <c:v>-6984</c:v>
                </c:pt>
                <c:pt idx="7">
                  <c:v>-6983</c:v>
                </c:pt>
                <c:pt idx="8">
                  <c:v>-6692</c:v>
                </c:pt>
                <c:pt idx="9">
                  <c:v>-3775</c:v>
                </c:pt>
                <c:pt idx="10">
                  <c:v>-3768</c:v>
                </c:pt>
                <c:pt idx="11">
                  <c:v>-3767</c:v>
                </c:pt>
                <c:pt idx="12">
                  <c:v>-2165</c:v>
                </c:pt>
                <c:pt idx="13">
                  <c:v>-2164</c:v>
                </c:pt>
                <c:pt idx="14">
                  <c:v>-2156</c:v>
                </c:pt>
                <c:pt idx="15">
                  <c:v>-2133</c:v>
                </c:pt>
                <c:pt idx="16">
                  <c:v>-1509</c:v>
                </c:pt>
                <c:pt idx="17">
                  <c:v>-1501</c:v>
                </c:pt>
                <c:pt idx="18">
                  <c:v>0</c:v>
                </c:pt>
                <c:pt idx="19">
                  <c:v>571</c:v>
                </c:pt>
                <c:pt idx="20">
                  <c:v>659</c:v>
                </c:pt>
                <c:pt idx="21">
                  <c:v>771</c:v>
                </c:pt>
                <c:pt idx="22">
                  <c:v>853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1">
                  <c:v>-0.15320199999405304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45-475E-8773-601CBE3791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1.5E-3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1.5E-3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-9062</c:v>
                </c:pt>
                <c:pt idx="1">
                  <c:v>-7088</c:v>
                </c:pt>
                <c:pt idx="2">
                  <c:v>-7081</c:v>
                </c:pt>
                <c:pt idx="3">
                  <c:v>-7029</c:v>
                </c:pt>
                <c:pt idx="4">
                  <c:v>-6998</c:v>
                </c:pt>
                <c:pt idx="5">
                  <c:v>-6991</c:v>
                </c:pt>
                <c:pt idx="6">
                  <c:v>-6984</c:v>
                </c:pt>
                <c:pt idx="7">
                  <c:v>-6983</c:v>
                </c:pt>
                <c:pt idx="8">
                  <c:v>-6692</c:v>
                </c:pt>
                <c:pt idx="9">
                  <c:v>-3775</c:v>
                </c:pt>
                <c:pt idx="10">
                  <c:v>-3768</c:v>
                </c:pt>
                <c:pt idx="11">
                  <c:v>-3767</c:v>
                </c:pt>
                <c:pt idx="12">
                  <c:v>-2165</c:v>
                </c:pt>
                <c:pt idx="13">
                  <c:v>-2164</c:v>
                </c:pt>
                <c:pt idx="14">
                  <c:v>-2156</c:v>
                </c:pt>
                <c:pt idx="15">
                  <c:v>-2133</c:v>
                </c:pt>
                <c:pt idx="16">
                  <c:v>-1509</c:v>
                </c:pt>
                <c:pt idx="17">
                  <c:v>-1501</c:v>
                </c:pt>
                <c:pt idx="18">
                  <c:v>0</c:v>
                </c:pt>
                <c:pt idx="19">
                  <c:v>571</c:v>
                </c:pt>
                <c:pt idx="20">
                  <c:v>659</c:v>
                </c:pt>
                <c:pt idx="21">
                  <c:v>771</c:v>
                </c:pt>
                <c:pt idx="22">
                  <c:v>853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45-475E-8773-601CBE3791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1.5E-3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1.5E-3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-9062</c:v>
                </c:pt>
                <c:pt idx="1">
                  <c:v>-7088</c:v>
                </c:pt>
                <c:pt idx="2">
                  <c:v>-7081</c:v>
                </c:pt>
                <c:pt idx="3">
                  <c:v>-7029</c:v>
                </c:pt>
                <c:pt idx="4">
                  <c:v>-6998</c:v>
                </c:pt>
                <c:pt idx="5">
                  <c:v>-6991</c:v>
                </c:pt>
                <c:pt idx="6">
                  <c:v>-6984</c:v>
                </c:pt>
                <c:pt idx="7">
                  <c:v>-6983</c:v>
                </c:pt>
                <c:pt idx="8">
                  <c:v>-6692</c:v>
                </c:pt>
                <c:pt idx="9">
                  <c:v>-3775</c:v>
                </c:pt>
                <c:pt idx="10">
                  <c:v>-3768</c:v>
                </c:pt>
                <c:pt idx="11">
                  <c:v>-3767</c:v>
                </c:pt>
                <c:pt idx="12">
                  <c:v>-2165</c:v>
                </c:pt>
                <c:pt idx="13">
                  <c:v>-2164</c:v>
                </c:pt>
                <c:pt idx="14">
                  <c:v>-2156</c:v>
                </c:pt>
                <c:pt idx="15">
                  <c:v>-2133</c:v>
                </c:pt>
                <c:pt idx="16">
                  <c:v>-1509</c:v>
                </c:pt>
                <c:pt idx="17">
                  <c:v>-1501</c:v>
                </c:pt>
                <c:pt idx="18">
                  <c:v>0</c:v>
                </c:pt>
                <c:pt idx="19">
                  <c:v>571</c:v>
                </c:pt>
                <c:pt idx="20">
                  <c:v>659</c:v>
                </c:pt>
                <c:pt idx="21">
                  <c:v>771</c:v>
                </c:pt>
                <c:pt idx="22">
                  <c:v>853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45-475E-8773-601CBE3791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1.5E-3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1.5E-3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-9062</c:v>
                </c:pt>
                <c:pt idx="1">
                  <c:v>-7088</c:v>
                </c:pt>
                <c:pt idx="2">
                  <c:v>-7081</c:v>
                </c:pt>
                <c:pt idx="3">
                  <c:v>-7029</c:v>
                </c:pt>
                <c:pt idx="4">
                  <c:v>-6998</c:v>
                </c:pt>
                <c:pt idx="5">
                  <c:v>-6991</c:v>
                </c:pt>
                <c:pt idx="6">
                  <c:v>-6984</c:v>
                </c:pt>
                <c:pt idx="7">
                  <c:v>-6983</c:v>
                </c:pt>
                <c:pt idx="8">
                  <c:v>-6692</c:v>
                </c:pt>
                <c:pt idx="9">
                  <c:v>-3775</c:v>
                </c:pt>
                <c:pt idx="10">
                  <c:v>-3768</c:v>
                </c:pt>
                <c:pt idx="11">
                  <c:v>-3767</c:v>
                </c:pt>
                <c:pt idx="12">
                  <c:v>-2165</c:v>
                </c:pt>
                <c:pt idx="13">
                  <c:v>-2164</c:v>
                </c:pt>
                <c:pt idx="14">
                  <c:v>-2156</c:v>
                </c:pt>
                <c:pt idx="15">
                  <c:v>-2133</c:v>
                </c:pt>
                <c:pt idx="16">
                  <c:v>-1509</c:v>
                </c:pt>
                <c:pt idx="17">
                  <c:v>-1501</c:v>
                </c:pt>
                <c:pt idx="18">
                  <c:v>0</c:v>
                </c:pt>
                <c:pt idx="19">
                  <c:v>571</c:v>
                </c:pt>
                <c:pt idx="20">
                  <c:v>659</c:v>
                </c:pt>
                <c:pt idx="21">
                  <c:v>771</c:v>
                </c:pt>
                <c:pt idx="22">
                  <c:v>853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45-475E-8773-601CBE3791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-9062</c:v>
                </c:pt>
                <c:pt idx="1">
                  <c:v>-7088</c:v>
                </c:pt>
                <c:pt idx="2">
                  <c:v>-7081</c:v>
                </c:pt>
                <c:pt idx="3">
                  <c:v>-7029</c:v>
                </c:pt>
                <c:pt idx="4">
                  <c:v>-6998</c:v>
                </c:pt>
                <c:pt idx="5">
                  <c:v>-6991</c:v>
                </c:pt>
                <c:pt idx="6">
                  <c:v>-6984</c:v>
                </c:pt>
                <c:pt idx="7">
                  <c:v>-6983</c:v>
                </c:pt>
                <c:pt idx="8">
                  <c:v>-6692</c:v>
                </c:pt>
                <c:pt idx="9">
                  <c:v>-3775</c:v>
                </c:pt>
                <c:pt idx="10">
                  <c:v>-3768</c:v>
                </c:pt>
                <c:pt idx="11">
                  <c:v>-3767</c:v>
                </c:pt>
                <c:pt idx="12">
                  <c:v>-2165</c:v>
                </c:pt>
                <c:pt idx="13">
                  <c:v>-2164</c:v>
                </c:pt>
                <c:pt idx="14">
                  <c:v>-2156</c:v>
                </c:pt>
                <c:pt idx="15">
                  <c:v>-2133</c:v>
                </c:pt>
                <c:pt idx="16">
                  <c:v>-1509</c:v>
                </c:pt>
                <c:pt idx="17">
                  <c:v>-1501</c:v>
                </c:pt>
                <c:pt idx="18">
                  <c:v>0</c:v>
                </c:pt>
                <c:pt idx="19">
                  <c:v>571</c:v>
                </c:pt>
                <c:pt idx="20">
                  <c:v>659</c:v>
                </c:pt>
                <c:pt idx="21">
                  <c:v>771</c:v>
                </c:pt>
                <c:pt idx="22">
                  <c:v>853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16">
                  <c:v>-9.7466984336348761E-4</c:v>
                </c:pt>
                <c:pt idx="17">
                  <c:v>-1.5103227819312226E-3</c:v>
                </c:pt>
                <c:pt idx="18">
                  <c:v>-0.10201220538070456</c:v>
                </c:pt>
                <c:pt idx="19">
                  <c:v>-0.14024443387097743</c:v>
                </c:pt>
                <c:pt idx="20">
                  <c:v>-0.14613661619522264</c:v>
                </c:pt>
                <c:pt idx="21">
                  <c:v>-0.15363575733517107</c:v>
                </c:pt>
                <c:pt idx="22">
                  <c:v>-0.15912619995549049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45-475E-8773-601CBE3791A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-9062</c:v>
                </c:pt>
                <c:pt idx="1">
                  <c:v>-7088</c:v>
                </c:pt>
                <c:pt idx="2">
                  <c:v>-7081</c:v>
                </c:pt>
                <c:pt idx="3">
                  <c:v>-7029</c:v>
                </c:pt>
                <c:pt idx="4">
                  <c:v>-6998</c:v>
                </c:pt>
                <c:pt idx="5">
                  <c:v>-6991</c:v>
                </c:pt>
                <c:pt idx="6">
                  <c:v>-6984</c:v>
                </c:pt>
                <c:pt idx="7">
                  <c:v>-6983</c:v>
                </c:pt>
                <c:pt idx="8">
                  <c:v>-6692</c:v>
                </c:pt>
                <c:pt idx="9">
                  <c:v>-3775</c:v>
                </c:pt>
                <c:pt idx="10">
                  <c:v>-3768</c:v>
                </c:pt>
                <c:pt idx="11">
                  <c:v>-3767</c:v>
                </c:pt>
                <c:pt idx="12">
                  <c:v>-2165</c:v>
                </c:pt>
                <c:pt idx="13">
                  <c:v>-2164</c:v>
                </c:pt>
                <c:pt idx="14">
                  <c:v>-2156</c:v>
                </c:pt>
                <c:pt idx="15">
                  <c:v>-2133</c:v>
                </c:pt>
                <c:pt idx="16">
                  <c:v>-1509</c:v>
                </c:pt>
                <c:pt idx="17">
                  <c:v>-1501</c:v>
                </c:pt>
                <c:pt idx="18">
                  <c:v>0</c:v>
                </c:pt>
                <c:pt idx="19">
                  <c:v>571</c:v>
                </c:pt>
                <c:pt idx="20">
                  <c:v>659</c:v>
                </c:pt>
                <c:pt idx="21">
                  <c:v>771</c:v>
                </c:pt>
                <c:pt idx="22">
                  <c:v>853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145-475E-8773-601CBE379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607688"/>
        <c:axId val="1"/>
      </c:scatterChart>
      <c:valAx>
        <c:axId val="537607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607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9A258D1-54E4-BABB-2F7C-080B2470C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8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44</v>
      </c>
      <c r="F1" s="31" t="s">
        <v>41</v>
      </c>
      <c r="G1" s="32">
        <v>0</v>
      </c>
      <c r="H1" s="33"/>
      <c r="I1" s="34" t="s">
        <v>42</v>
      </c>
      <c r="J1" s="40" t="s">
        <v>41</v>
      </c>
      <c r="K1" s="35">
        <v>22.283839999999998</v>
      </c>
      <c r="L1" s="36">
        <v>47.581299999999999</v>
      </c>
      <c r="M1" s="37">
        <v>52502.09</v>
      </c>
      <c r="N1" s="37">
        <v>3.8658619999999999</v>
      </c>
      <c r="O1" s="34" t="s">
        <v>43</v>
      </c>
    </row>
    <row r="2" spans="1:15" x14ac:dyDescent="0.2">
      <c r="A2" t="s">
        <v>23</v>
      </c>
      <c r="B2" t="s">
        <v>43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25328.612000000001</v>
      </c>
      <c r="D4" s="28">
        <v>3.8659599999999998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9">
        <v>52502.09</v>
      </c>
      <c r="D7" s="34" t="s">
        <v>45</v>
      </c>
    </row>
    <row r="8" spans="1:15" x14ac:dyDescent="0.2">
      <c r="A8" t="s">
        <v>3</v>
      </c>
      <c r="C8" s="59">
        <v>3.8658619999999999</v>
      </c>
      <c r="D8" s="29" t="s">
        <v>45</v>
      </c>
    </row>
    <row r="9" spans="1:15" x14ac:dyDescent="0.2">
      <c r="A9" s="24" t="s">
        <v>32</v>
      </c>
      <c r="B9" s="25">
        <v>37</v>
      </c>
      <c r="C9" s="22" t="str">
        <f>"F"&amp;B9</f>
        <v>F37</v>
      </c>
      <c r="D9" s="23" t="str">
        <f>"G"&amp;B9</f>
        <v>G37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-0.10201220538070456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-6.6956617320968243E-5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55799.511159800037</v>
      </c>
      <c r="E15" s="14" t="s">
        <v>34</v>
      </c>
      <c r="F15" s="38">
        <v>1</v>
      </c>
    </row>
    <row r="16" spans="1:15" x14ac:dyDescent="0.2">
      <c r="A16" s="16" t="s">
        <v>4</v>
      </c>
      <c r="B16" s="10"/>
      <c r="C16" s="17">
        <f ca="1">+C8+C12</f>
        <v>3.8657950433826791</v>
      </c>
      <c r="E16" s="14" t="s">
        <v>30</v>
      </c>
      <c r="F16" s="39">
        <f ca="1">NOW()+15018.5+$C$5/24</f>
        <v>60356.735889120369</v>
      </c>
    </row>
    <row r="17" spans="1:21" ht="13.5" thickBot="1" x14ac:dyDescent="0.25">
      <c r="A17" s="14" t="s">
        <v>27</v>
      </c>
      <c r="B17" s="10"/>
      <c r="C17" s="10">
        <f>COUNT(C21:C2191)</f>
        <v>23</v>
      </c>
      <c r="E17" s="14" t="s">
        <v>35</v>
      </c>
      <c r="F17" s="15">
        <f ca="1">ROUND(2*(F16-$C$7)/$C$8,0)/2+F15</f>
        <v>2033</v>
      </c>
    </row>
    <row r="18" spans="1:21" ht="14.25" thickTop="1" thickBot="1" x14ac:dyDescent="0.25">
      <c r="A18" s="16" t="s">
        <v>5</v>
      </c>
      <c r="B18" s="10"/>
      <c r="C18" s="19">
        <f ca="1">+C15</f>
        <v>55799.511159800037</v>
      </c>
      <c r="D18" s="20">
        <f ca="1">+C16</f>
        <v>3.8657950433826791</v>
      </c>
      <c r="E18" s="14" t="s">
        <v>36</v>
      </c>
      <c r="F18" s="23">
        <f ca="1">ROUND(2*(F16-$C$15)/$C$16,0)/2+F15</f>
        <v>1180</v>
      </c>
    </row>
    <row r="19" spans="1:21" ht="13.5" thickTop="1" x14ac:dyDescent="0.2">
      <c r="E19" s="14" t="s">
        <v>31</v>
      </c>
      <c r="F19" s="18">
        <f ca="1">+$C$15+$C$16*F18-15018.5-$C$5/24</f>
        <v>45343.045144324933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56" t="s">
        <v>60</v>
      </c>
      <c r="B21" s="58" t="s">
        <v>142</v>
      </c>
      <c r="C21" s="57">
        <v>17469.45</v>
      </c>
      <c r="D21" s="57" t="s">
        <v>38</v>
      </c>
      <c r="E21">
        <f t="shared" ref="E21:E43" si="0">+(C21-C$7)/C$8</f>
        <v>-9062.051361378135</v>
      </c>
      <c r="F21">
        <f t="shared" ref="F21:F43" si="1">ROUND(2*E21,0)/2</f>
        <v>-9062</v>
      </c>
      <c r="G21">
        <f t="shared" ref="G21:G38" si="2">+C21-(C$7+F21*C$8)</f>
        <v>-0.19855599999937112</v>
      </c>
      <c r="I21">
        <f>+G21</f>
        <v>-0.19855599999937112</v>
      </c>
      <c r="Q21" s="2">
        <f t="shared" ref="Q21:Q43" si="3">+C21-15018.5</f>
        <v>2450.9500000000007</v>
      </c>
    </row>
    <row r="22" spans="1:21" x14ac:dyDescent="0.2">
      <c r="A22" s="56" t="s">
        <v>65</v>
      </c>
      <c r="B22" s="58" t="s">
        <v>142</v>
      </c>
      <c r="C22" s="57">
        <v>25100.348000000002</v>
      </c>
      <c r="D22" s="57" t="s">
        <v>38</v>
      </c>
      <c r="E22">
        <f t="shared" si="0"/>
        <v>-7088.1324786037358</v>
      </c>
      <c r="F22">
        <f t="shared" si="1"/>
        <v>-7088</v>
      </c>
      <c r="G22">
        <f t="shared" si="2"/>
        <v>-0.51214399999662419</v>
      </c>
      <c r="I22">
        <f>+G22</f>
        <v>-0.51214399999662419</v>
      </c>
      <c r="Q22" s="2">
        <f t="shared" si="3"/>
        <v>10081.848000000002</v>
      </c>
    </row>
    <row r="23" spans="1:21" x14ac:dyDescent="0.2">
      <c r="A23" s="56" t="s">
        <v>65</v>
      </c>
      <c r="B23" s="58" t="s">
        <v>142</v>
      </c>
      <c r="C23" s="57">
        <v>25127.536</v>
      </c>
      <c r="D23" s="57" t="s">
        <v>38</v>
      </c>
      <c r="E23">
        <f t="shared" si="0"/>
        <v>-7081.0996357345393</v>
      </c>
      <c r="F23">
        <f t="shared" si="1"/>
        <v>-7081</v>
      </c>
      <c r="G23">
        <f t="shared" si="2"/>
        <v>-0.38517799999681301</v>
      </c>
      <c r="I23">
        <f>+G23</f>
        <v>-0.38517799999681301</v>
      </c>
      <c r="Q23" s="2">
        <f t="shared" si="3"/>
        <v>10109.036</v>
      </c>
    </row>
    <row r="24" spans="1:21" x14ac:dyDescent="0.2">
      <c r="A24" s="56" t="s">
        <v>65</v>
      </c>
      <c r="B24" s="58" t="s">
        <v>142</v>
      </c>
      <c r="C24" s="57">
        <v>25328.612000000001</v>
      </c>
      <c r="D24" s="57" t="s">
        <v>38</v>
      </c>
      <c r="E24">
        <f t="shared" si="0"/>
        <v>-7029.0863978072666</v>
      </c>
      <c r="F24">
        <f t="shared" si="1"/>
        <v>-7029</v>
      </c>
      <c r="G24">
        <f t="shared" si="2"/>
        <v>-0.33400199999596225</v>
      </c>
      <c r="I24">
        <f>+G24</f>
        <v>-0.33400199999596225</v>
      </c>
      <c r="Q24" s="2">
        <f t="shared" si="3"/>
        <v>10310.112000000001</v>
      </c>
    </row>
    <row r="25" spans="1:21" x14ac:dyDescent="0.2">
      <c r="A25" s="56" t="s">
        <v>65</v>
      </c>
      <c r="B25" s="58" t="s">
        <v>142</v>
      </c>
      <c r="C25" s="57">
        <v>25448.510999999999</v>
      </c>
      <c r="D25" s="57" t="s">
        <v>38</v>
      </c>
      <c r="E25">
        <f t="shared" si="0"/>
        <v>-6998.07158144807</v>
      </c>
      <c r="F25">
        <f t="shared" si="1"/>
        <v>-6998</v>
      </c>
      <c r="G25">
        <f t="shared" si="2"/>
        <v>-0.27672399999937625</v>
      </c>
      <c r="I25">
        <f>+G25</f>
        <v>-0.27672399999937625</v>
      </c>
      <c r="Q25" s="2">
        <f t="shared" si="3"/>
        <v>10430.010999999999</v>
      </c>
    </row>
    <row r="26" spans="1:21" x14ac:dyDescent="0.2">
      <c r="A26" s="56" t="s">
        <v>65</v>
      </c>
      <c r="B26" s="58" t="s">
        <v>142</v>
      </c>
      <c r="C26" s="57">
        <v>25475.52</v>
      </c>
      <c r="D26" s="57" t="s">
        <v>38</v>
      </c>
      <c r="E26">
        <f t="shared" si="0"/>
        <v>-6991.0850413180806</v>
      </c>
      <c r="F26">
        <f t="shared" si="1"/>
        <v>-6991</v>
      </c>
      <c r="G26">
        <f t="shared" si="2"/>
        <v>-0.32875799999601441</v>
      </c>
      <c r="I26">
        <f>+G26</f>
        <v>-0.32875799999601441</v>
      </c>
      <c r="Q26" s="2">
        <f t="shared" si="3"/>
        <v>10457.02</v>
      </c>
    </row>
    <row r="27" spans="1:21" x14ac:dyDescent="0.2">
      <c r="A27" s="56" t="s">
        <v>65</v>
      </c>
      <c r="B27" s="58" t="s">
        <v>142</v>
      </c>
      <c r="C27" s="57">
        <v>25502.58</v>
      </c>
      <c r="D27" s="57" t="s">
        <v>38</v>
      </c>
      <c r="E27">
        <f t="shared" si="0"/>
        <v>-6984.0853087875348</v>
      </c>
      <c r="F27">
        <f t="shared" si="1"/>
        <v>-6984</v>
      </c>
      <c r="G27">
        <f t="shared" si="2"/>
        <v>-0.32979199999681441</v>
      </c>
      <c r="I27">
        <f>+G27</f>
        <v>-0.32979199999681441</v>
      </c>
      <c r="Q27" s="2">
        <f t="shared" si="3"/>
        <v>10484.080000000002</v>
      </c>
    </row>
    <row r="28" spans="1:21" x14ac:dyDescent="0.2">
      <c r="A28" s="56" t="s">
        <v>65</v>
      </c>
      <c r="B28" s="58" t="s">
        <v>142</v>
      </c>
      <c r="C28" s="57">
        <v>25506.473000000002</v>
      </c>
      <c r="D28" s="57" t="s">
        <v>38</v>
      </c>
      <c r="E28">
        <f t="shared" si="0"/>
        <v>-6983.0782888783915</v>
      </c>
      <c r="F28">
        <f t="shared" si="1"/>
        <v>-6983</v>
      </c>
      <c r="G28">
        <f t="shared" si="2"/>
        <v>-0.30265399999552756</v>
      </c>
      <c r="I28">
        <f>+G28</f>
        <v>-0.30265399999552756</v>
      </c>
      <c r="Q28" s="2">
        <f t="shared" si="3"/>
        <v>10487.973000000002</v>
      </c>
    </row>
    <row r="29" spans="1:21" x14ac:dyDescent="0.2">
      <c r="A29" s="56" t="s">
        <v>65</v>
      </c>
      <c r="B29" s="58" t="s">
        <v>142</v>
      </c>
      <c r="C29" s="57">
        <v>26631.392</v>
      </c>
      <c r="D29" s="57" t="s">
        <v>38</v>
      </c>
      <c r="E29">
        <f t="shared" si="0"/>
        <v>-6692.0904057102907</v>
      </c>
      <c r="F29">
        <f t="shared" si="1"/>
        <v>-6692</v>
      </c>
      <c r="G29">
        <f t="shared" si="2"/>
        <v>-0.34949599999890779</v>
      </c>
      <c r="I29">
        <f>+G29</f>
        <v>-0.34949599999890779</v>
      </c>
      <c r="Q29" s="2">
        <f t="shared" si="3"/>
        <v>11612.892</v>
      </c>
    </row>
    <row r="30" spans="1:21" x14ac:dyDescent="0.2">
      <c r="A30" s="56" t="s">
        <v>93</v>
      </c>
      <c r="B30" s="58" t="s">
        <v>142</v>
      </c>
      <c r="C30" s="57">
        <v>37908.464</v>
      </c>
      <c r="D30" s="57" t="s">
        <v>38</v>
      </c>
      <c r="E30">
        <f t="shared" si="0"/>
        <v>-3774.9992110427111</v>
      </c>
      <c r="F30">
        <f t="shared" si="1"/>
        <v>-3775</v>
      </c>
      <c r="G30">
        <f t="shared" si="2"/>
        <v>3.0500000066240318E-3</v>
      </c>
      <c r="I30">
        <f t="shared" ref="I30:I38" si="4">+G30</f>
        <v>3.0500000066240318E-3</v>
      </c>
      <c r="Q30" s="2">
        <f t="shared" si="3"/>
        <v>22889.964</v>
      </c>
    </row>
    <row r="31" spans="1:21" x14ac:dyDescent="0.2">
      <c r="A31" s="56" t="s">
        <v>93</v>
      </c>
      <c r="B31" s="58" t="s">
        <v>142</v>
      </c>
      <c r="C31" s="57">
        <v>37935.514000000003</v>
      </c>
      <c r="D31" s="57" t="s">
        <v>38</v>
      </c>
      <c r="E31">
        <f t="shared" si="0"/>
        <v>-3768.0020652573717</v>
      </c>
      <c r="F31">
        <f t="shared" si="1"/>
        <v>-3768</v>
      </c>
      <c r="G31">
        <f t="shared" si="2"/>
        <v>-7.9839999962132424E-3</v>
      </c>
      <c r="I31">
        <f t="shared" si="4"/>
        <v>-7.9839999962132424E-3</v>
      </c>
      <c r="Q31" s="2">
        <f t="shared" si="3"/>
        <v>22917.014000000003</v>
      </c>
    </row>
    <row r="32" spans="1:21" x14ac:dyDescent="0.2">
      <c r="A32" s="56" t="s">
        <v>93</v>
      </c>
      <c r="B32" s="58" t="s">
        <v>142</v>
      </c>
      <c r="C32" s="57">
        <v>37939.391000000003</v>
      </c>
      <c r="D32" s="57" t="s">
        <v>38</v>
      </c>
      <c r="E32">
        <f t="shared" si="0"/>
        <v>-3766.9991841405599</v>
      </c>
      <c r="F32">
        <f t="shared" si="1"/>
        <v>-3767</v>
      </c>
      <c r="G32">
        <f t="shared" si="2"/>
        <v>3.1540000054519624E-3</v>
      </c>
      <c r="I32">
        <f t="shared" si="4"/>
        <v>3.1540000054519624E-3</v>
      </c>
      <c r="Q32" s="2">
        <f t="shared" si="3"/>
        <v>22920.891000000003</v>
      </c>
    </row>
    <row r="33" spans="1:21" x14ac:dyDescent="0.2">
      <c r="A33" s="56" t="s">
        <v>93</v>
      </c>
      <c r="B33" s="58" t="s">
        <v>142</v>
      </c>
      <c r="C33" s="57">
        <v>44132.451999999997</v>
      </c>
      <c r="D33" s="57" t="s">
        <v>38</v>
      </c>
      <c r="E33">
        <f t="shared" si="0"/>
        <v>-2165.0120982073336</v>
      </c>
      <c r="F33">
        <f t="shared" si="1"/>
        <v>-2165</v>
      </c>
      <c r="G33">
        <f t="shared" si="2"/>
        <v>-4.6770000000833534E-2</v>
      </c>
      <c r="I33">
        <f t="shared" si="4"/>
        <v>-4.6770000000833534E-2</v>
      </c>
      <c r="Q33" s="2">
        <f t="shared" si="3"/>
        <v>29113.951999999997</v>
      </c>
    </row>
    <row r="34" spans="1:21" x14ac:dyDescent="0.2">
      <c r="A34" s="56" t="s">
        <v>93</v>
      </c>
      <c r="B34" s="58" t="s">
        <v>142</v>
      </c>
      <c r="C34" s="57">
        <v>44136.357000000004</v>
      </c>
      <c r="D34" s="57" t="s">
        <v>38</v>
      </c>
      <c r="E34">
        <f t="shared" si="0"/>
        <v>-2164.0019742039403</v>
      </c>
      <c r="F34">
        <f t="shared" si="1"/>
        <v>-2164</v>
      </c>
      <c r="G34">
        <f t="shared" si="2"/>
        <v>-7.6319999934639782E-3</v>
      </c>
      <c r="I34">
        <f t="shared" si="4"/>
        <v>-7.6319999934639782E-3</v>
      </c>
      <c r="Q34" s="2">
        <f t="shared" si="3"/>
        <v>29117.857000000004</v>
      </c>
    </row>
    <row r="35" spans="1:21" x14ac:dyDescent="0.2">
      <c r="A35" s="56" t="s">
        <v>93</v>
      </c>
      <c r="B35" s="58" t="s">
        <v>142</v>
      </c>
      <c r="C35" s="57">
        <v>44167.273999999998</v>
      </c>
      <c r="D35" s="57" t="s">
        <v>38</v>
      </c>
      <c r="E35">
        <f t="shared" si="0"/>
        <v>-2156.0045340469987</v>
      </c>
      <c r="F35">
        <f t="shared" si="1"/>
        <v>-2156</v>
      </c>
      <c r="G35">
        <f t="shared" si="2"/>
        <v>-1.7527999996673316E-2</v>
      </c>
      <c r="I35">
        <f t="shared" si="4"/>
        <v>-1.7527999996673316E-2</v>
      </c>
      <c r="Q35" s="2">
        <f t="shared" si="3"/>
        <v>29148.773999999998</v>
      </c>
    </row>
    <row r="36" spans="1:21" x14ac:dyDescent="0.2">
      <c r="A36" s="56" t="s">
        <v>93</v>
      </c>
      <c r="B36" s="58" t="s">
        <v>142</v>
      </c>
      <c r="C36" s="57">
        <v>44256.233</v>
      </c>
      <c r="D36" s="57" t="s">
        <v>38</v>
      </c>
      <c r="E36">
        <f t="shared" si="0"/>
        <v>-2132.99310735872</v>
      </c>
      <c r="F36">
        <f t="shared" si="1"/>
        <v>-2133</v>
      </c>
      <c r="G36">
        <f t="shared" si="2"/>
        <v>2.6646000005712267E-2</v>
      </c>
      <c r="I36">
        <f t="shared" si="4"/>
        <v>2.6646000005712267E-2</v>
      </c>
      <c r="Q36" s="2">
        <f t="shared" si="3"/>
        <v>29237.733</v>
      </c>
    </row>
    <row r="37" spans="1:21" x14ac:dyDescent="0.2">
      <c r="A37" s="56" t="s">
        <v>116</v>
      </c>
      <c r="B37" s="58" t="s">
        <v>142</v>
      </c>
      <c r="C37" s="57">
        <v>46668.5</v>
      </c>
      <c r="D37" s="57" t="s">
        <v>38</v>
      </c>
      <c r="E37">
        <f t="shared" si="0"/>
        <v>-1509.0010972973159</v>
      </c>
      <c r="F37">
        <f t="shared" si="1"/>
        <v>-1509</v>
      </c>
      <c r="G37">
        <f t="shared" si="2"/>
        <v>-4.2419999954290688E-3</v>
      </c>
      <c r="I37">
        <f t="shared" si="4"/>
        <v>-4.2419999954290688E-3</v>
      </c>
      <c r="O37">
        <f t="shared" ref="O37:O43" ca="1" si="5">+C$11+C$12*$F37</f>
        <v>-9.7466984336348761E-4</v>
      </c>
      <c r="Q37" s="2">
        <f t="shared" si="3"/>
        <v>31650</v>
      </c>
    </row>
    <row r="38" spans="1:21" x14ac:dyDescent="0.2">
      <c r="A38" s="56" t="s">
        <v>116</v>
      </c>
      <c r="B38" s="58" t="s">
        <v>142</v>
      </c>
      <c r="C38" s="57">
        <v>46699.432999999997</v>
      </c>
      <c r="D38" s="57" t="s">
        <v>38</v>
      </c>
      <c r="E38">
        <f t="shared" si="0"/>
        <v>-1500.9995183480423</v>
      </c>
      <c r="F38">
        <f t="shared" si="1"/>
        <v>-1501</v>
      </c>
      <c r="G38">
        <f t="shared" si="2"/>
        <v>1.861999997345265E-3</v>
      </c>
      <c r="I38">
        <f t="shared" si="4"/>
        <v>1.861999997345265E-3</v>
      </c>
      <c r="O38">
        <f t="shared" ca="1" si="5"/>
        <v>-1.5103227819312226E-3</v>
      </c>
      <c r="Q38" s="2">
        <f t="shared" si="3"/>
        <v>31680.932999999997</v>
      </c>
    </row>
    <row r="39" spans="1:21" x14ac:dyDescent="0.2">
      <c r="A39" t="s">
        <v>45</v>
      </c>
      <c r="C39" s="8">
        <v>52502.09</v>
      </c>
      <c r="D39" s="8" t="s">
        <v>13</v>
      </c>
      <c r="E39">
        <f t="shared" si="0"/>
        <v>0</v>
      </c>
      <c r="F39">
        <f t="shared" si="1"/>
        <v>0</v>
      </c>
      <c r="O39">
        <f t="shared" ca="1" si="5"/>
        <v>-0.10201220538070456</v>
      </c>
      <c r="Q39" s="2">
        <f t="shared" si="3"/>
        <v>37483.589999999997</v>
      </c>
      <c r="U39">
        <f>+C39-(C$7+F39*C$8)</f>
        <v>0</v>
      </c>
    </row>
    <row r="40" spans="1:21" x14ac:dyDescent="0.2">
      <c r="A40" s="56" t="s">
        <v>126</v>
      </c>
      <c r="B40" s="58" t="s">
        <v>142</v>
      </c>
      <c r="C40" s="57">
        <v>54709.356200000002</v>
      </c>
      <c r="D40" s="57" t="s">
        <v>38</v>
      </c>
      <c r="E40">
        <f t="shared" si="0"/>
        <v>570.9635263752316</v>
      </c>
      <c r="F40">
        <f t="shared" si="1"/>
        <v>571</v>
      </c>
      <c r="G40">
        <f>+C40-(C$7+F40*C$8)</f>
        <v>-0.14100199999666074</v>
      </c>
      <c r="I40">
        <f>+G40</f>
        <v>-0.14100199999666074</v>
      </c>
      <c r="O40">
        <f t="shared" ca="1" si="5"/>
        <v>-0.14024443387097743</v>
      </c>
      <c r="Q40" s="2">
        <f t="shared" si="3"/>
        <v>39690.856200000002</v>
      </c>
    </row>
    <row r="41" spans="1:21" x14ac:dyDescent="0.2">
      <c r="A41" s="56" t="s">
        <v>131</v>
      </c>
      <c r="B41" s="58" t="s">
        <v>142</v>
      </c>
      <c r="C41" s="57">
        <v>55049.546699999999</v>
      </c>
      <c r="D41" s="57" t="s">
        <v>38</v>
      </c>
      <c r="E41">
        <f t="shared" si="0"/>
        <v>658.96214091449781</v>
      </c>
      <c r="F41">
        <f t="shared" si="1"/>
        <v>659</v>
      </c>
      <c r="G41">
        <f>+C41-(C$7+F41*C$8)</f>
        <v>-0.14635799999814481</v>
      </c>
      <c r="I41">
        <f>+G41</f>
        <v>-0.14635799999814481</v>
      </c>
      <c r="O41">
        <f t="shared" ca="1" si="5"/>
        <v>-0.14613661619522264</v>
      </c>
      <c r="Q41" s="2">
        <f t="shared" si="3"/>
        <v>40031.046699999999</v>
      </c>
    </row>
    <row r="42" spans="1:21" x14ac:dyDescent="0.2">
      <c r="A42" s="41" t="s">
        <v>46</v>
      </c>
      <c r="B42" s="41"/>
      <c r="C42" s="42">
        <v>55482.5164</v>
      </c>
      <c r="D42" s="42">
        <v>1.5E-3</v>
      </c>
      <c r="E42">
        <f t="shared" si="0"/>
        <v>770.96037054607848</v>
      </c>
      <c r="F42">
        <f t="shared" si="1"/>
        <v>771</v>
      </c>
      <c r="G42">
        <f>+C42-(C$7+F42*C$8)</f>
        <v>-0.15320199999405304</v>
      </c>
      <c r="K42">
        <f>+G42</f>
        <v>-0.15320199999405304</v>
      </c>
      <c r="O42">
        <f t="shared" ca="1" si="5"/>
        <v>-0.15363575733517107</v>
      </c>
      <c r="Q42" s="2">
        <f t="shared" si="3"/>
        <v>40464.0164</v>
      </c>
    </row>
    <row r="43" spans="1:21" x14ac:dyDescent="0.2">
      <c r="A43" s="56" t="s">
        <v>141</v>
      </c>
      <c r="B43" s="58" t="s">
        <v>142</v>
      </c>
      <c r="C43" s="57">
        <v>55799.511599999998</v>
      </c>
      <c r="D43" s="57" t="s">
        <v>38</v>
      </c>
      <c r="E43">
        <f t="shared" si="0"/>
        <v>852.95895197500624</v>
      </c>
      <c r="F43">
        <f t="shared" si="1"/>
        <v>853</v>
      </c>
      <c r="G43">
        <f>+C43-(C$7+F43*C$8)</f>
        <v>-0.15868599999521393</v>
      </c>
      <c r="I43">
        <f>+G43</f>
        <v>-0.15868599999521393</v>
      </c>
      <c r="O43">
        <f t="shared" ca="1" si="5"/>
        <v>-0.15912619995549049</v>
      </c>
      <c r="Q43" s="2">
        <f t="shared" si="3"/>
        <v>40781.011599999998</v>
      </c>
    </row>
    <row r="44" spans="1:21" x14ac:dyDescent="0.2">
      <c r="B44" s="3"/>
      <c r="C44" s="8"/>
      <c r="D44" s="8"/>
    </row>
    <row r="45" spans="1:21" x14ac:dyDescent="0.2">
      <c r="C45" s="8"/>
      <c r="D45" s="8"/>
    </row>
    <row r="46" spans="1:21" x14ac:dyDescent="0.2">
      <c r="C46" s="8"/>
      <c r="D46" s="8"/>
    </row>
    <row r="47" spans="1:21" x14ac:dyDescent="0.2">
      <c r="C47" s="8"/>
      <c r="D47" s="8"/>
    </row>
    <row r="48" spans="1:21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0"/>
  <sheetViews>
    <sheetView workbookViewId="0">
      <selection activeCell="A12" sqref="A12:D32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3" t="s">
        <v>47</v>
      </c>
      <c r="I1" s="44" t="s">
        <v>48</v>
      </c>
      <c r="J1" s="45" t="s">
        <v>40</v>
      </c>
    </row>
    <row r="2" spans="1:16" x14ac:dyDescent="0.2">
      <c r="I2" s="46" t="s">
        <v>49</v>
      </c>
      <c r="J2" s="47" t="s">
        <v>39</v>
      </c>
    </row>
    <row r="3" spans="1:16" x14ac:dyDescent="0.2">
      <c r="A3" s="48" t="s">
        <v>50</v>
      </c>
      <c r="I3" s="46" t="s">
        <v>51</v>
      </c>
      <c r="J3" s="47" t="s">
        <v>37</v>
      </c>
    </row>
    <row r="4" spans="1:16" x14ac:dyDescent="0.2">
      <c r="I4" s="46" t="s">
        <v>52</v>
      </c>
      <c r="J4" s="47" t="s">
        <v>37</v>
      </c>
    </row>
    <row r="5" spans="1:16" ht="13.5" thickBot="1" x14ac:dyDescent="0.25">
      <c r="I5" s="49" t="s">
        <v>53</v>
      </c>
      <c r="J5" s="50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32" si="0">P11</f>
        <v>BAVM 215 </v>
      </c>
      <c r="B11" s="3" t="str">
        <f t="shared" ref="B11:B32" si="1">IF(H11=INT(H11),"I","II")</f>
        <v>I</v>
      </c>
      <c r="C11" s="8">
        <f t="shared" ref="C11:C32" si="2">1*G11</f>
        <v>55482.5164</v>
      </c>
      <c r="D11" s="10" t="str">
        <f t="shared" ref="D11:D32" si="3">VLOOKUP(F11,I$1:J$5,2,FALSE)</f>
        <v>vis</v>
      </c>
      <c r="E11" s="51">
        <f>VLOOKUP(C11,Active!C$21:E$973,3,FALSE)</f>
        <v>770.96037054607848</v>
      </c>
      <c r="F11" s="3" t="s">
        <v>53</v>
      </c>
      <c r="G11" s="10" t="str">
        <f t="shared" ref="G11:G32" si="4">MID(I11,3,LEN(I11)-3)</f>
        <v>55482.5164</v>
      </c>
      <c r="H11" s="8">
        <f t="shared" ref="H11:H32" si="5">1*K11</f>
        <v>7800</v>
      </c>
      <c r="I11" s="52" t="s">
        <v>132</v>
      </c>
      <c r="J11" s="53" t="s">
        <v>133</v>
      </c>
      <c r="K11" s="52" t="s">
        <v>134</v>
      </c>
      <c r="L11" s="52" t="s">
        <v>135</v>
      </c>
      <c r="M11" s="53" t="s">
        <v>123</v>
      </c>
      <c r="N11" s="53" t="s">
        <v>124</v>
      </c>
      <c r="O11" s="54" t="s">
        <v>125</v>
      </c>
      <c r="P11" s="55" t="s">
        <v>136</v>
      </c>
    </row>
    <row r="12" spans="1:16" ht="12.75" customHeight="1" thickBot="1" x14ac:dyDescent="0.25">
      <c r="A12" s="8" t="str">
        <f t="shared" si="0"/>
        <v> PZ 4.314 </v>
      </c>
      <c r="B12" s="3" t="str">
        <f t="shared" si="1"/>
        <v>I</v>
      </c>
      <c r="C12" s="8">
        <f t="shared" si="2"/>
        <v>17469.45</v>
      </c>
      <c r="D12" s="10" t="str">
        <f t="shared" si="3"/>
        <v>vis</v>
      </c>
      <c r="E12" s="51">
        <f>VLOOKUP(C12,Active!C$21:E$973,3,FALSE)</f>
        <v>-9062.051361378135</v>
      </c>
      <c r="F12" s="3" t="s">
        <v>53</v>
      </c>
      <c r="G12" s="10" t="str">
        <f t="shared" si="4"/>
        <v>17469.45</v>
      </c>
      <c r="H12" s="8">
        <f t="shared" si="5"/>
        <v>-2033</v>
      </c>
      <c r="I12" s="52" t="s">
        <v>55</v>
      </c>
      <c r="J12" s="53" t="s">
        <v>56</v>
      </c>
      <c r="K12" s="52">
        <v>-2033</v>
      </c>
      <c r="L12" s="52" t="s">
        <v>57</v>
      </c>
      <c r="M12" s="53" t="s">
        <v>58</v>
      </c>
      <c r="N12" s="53"/>
      <c r="O12" s="54" t="s">
        <v>59</v>
      </c>
      <c r="P12" s="54" t="s">
        <v>60</v>
      </c>
    </row>
    <row r="13" spans="1:16" ht="12.75" customHeight="1" thickBot="1" x14ac:dyDescent="0.25">
      <c r="A13" s="8" t="str">
        <f t="shared" si="0"/>
        <v> KVBB 24.102 </v>
      </c>
      <c r="B13" s="3" t="str">
        <f t="shared" si="1"/>
        <v>I</v>
      </c>
      <c r="C13" s="8">
        <f t="shared" si="2"/>
        <v>25100.348000000002</v>
      </c>
      <c r="D13" s="10" t="str">
        <f t="shared" si="3"/>
        <v>vis</v>
      </c>
      <c r="E13" s="51">
        <f>VLOOKUP(C13,Active!C$21:E$973,3,FALSE)</f>
        <v>-7088.1324786037358</v>
      </c>
      <c r="F13" s="3" t="s">
        <v>53</v>
      </c>
      <c r="G13" s="10" t="str">
        <f t="shared" si="4"/>
        <v>25100.348</v>
      </c>
      <c r="H13" s="8">
        <f t="shared" si="5"/>
        <v>-59</v>
      </c>
      <c r="I13" s="52" t="s">
        <v>61</v>
      </c>
      <c r="J13" s="53" t="s">
        <v>62</v>
      </c>
      <c r="K13" s="52">
        <v>-59</v>
      </c>
      <c r="L13" s="52" t="s">
        <v>63</v>
      </c>
      <c r="M13" s="53" t="s">
        <v>58</v>
      </c>
      <c r="N13" s="53"/>
      <c r="O13" s="54" t="s">
        <v>64</v>
      </c>
      <c r="P13" s="54" t="s">
        <v>65</v>
      </c>
    </row>
    <row r="14" spans="1:16" ht="12.75" customHeight="1" thickBot="1" x14ac:dyDescent="0.25">
      <c r="A14" s="8" t="str">
        <f t="shared" si="0"/>
        <v> KVBB 24.102 </v>
      </c>
      <c r="B14" s="3" t="str">
        <f t="shared" si="1"/>
        <v>I</v>
      </c>
      <c r="C14" s="8">
        <f t="shared" si="2"/>
        <v>25127.536</v>
      </c>
      <c r="D14" s="10" t="str">
        <f t="shared" si="3"/>
        <v>vis</v>
      </c>
      <c r="E14" s="51">
        <f>VLOOKUP(C14,Active!C$21:E$973,3,FALSE)</f>
        <v>-7081.0996357345393</v>
      </c>
      <c r="F14" s="3" t="s">
        <v>53</v>
      </c>
      <c r="G14" s="10" t="str">
        <f t="shared" si="4"/>
        <v>25127.536</v>
      </c>
      <c r="H14" s="8">
        <f t="shared" si="5"/>
        <v>-52</v>
      </c>
      <c r="I14" s="52" t="s">
        <v>66</v>
      </c>
      <c r="J14" s="53" t="s">
        <v>67</v>
      </c>
      <c r="K14" s="52">
        <v>-52</v>
      </c>
      <c r="L14" s="52" t="s">
        <v>68</v>
      </c>
      <c r="M14" s="53" t="s">
        <v>58</v>
      </c>
      <c r="N14" s="53"/>
      <c r="O14" s="54" t="s">
        <v>64</v>
      </c>
      <c r="P14" s="54" t="s">
        <v>65</v>
      </c>
    </row>
    <row r="15" spans="1:16" ht="12.75" customHeight="1" thickBot="1" x14ac:dyDescent="0.25">
      <c r="A15" s="8" t="str">
        <f t="shared" si="0"/>
        <v> KVBB 24.102 </v>
      </c>
      <c r="B15" s="3" t="str">
        <f t="shared" si="1"/>
        <v>I</v>
      </c>
      <c r="C15" s="8">
        <f t="shared" si="2"/>
        <v>25328.612000000001</v>
      </c>
      <c r="D15" s="10" t="str">
        <f t="shared" si="3"/>
        <v>vis</v>
      </c>
      <c r="E15" s="51">
        <f>VLOOKUP(C15,Active!C$21:E$973,3,FALSE)</f>
        <v>-7029.0863978072666</v>
      </c>
      <c r="F15" s="3" t="s">
        <v>53</v>
      </c>
      <c r="G15" s="10" t="str">
        <f t="shared" si="4"/>
        <v>25328.612</v>
      </c>
      <c r="H15" s="8">
        <f t="shared" si="5"/>
        <v>0</v>
      </c>
      <c r="I15" s="52" t="s">
        <v>69</v>
      </c>
      <c r="J15" s="53" t="s">
        <v>70</v>
      </c>
      <c r="K15" s="52">
        <v>0</v>
      </c>
      <c r="L15" s="52" t="s">
        <v>71</v>
      </c>
      <c r="M15" s="53" t="s">
        <v>72</v>
      </c>
      <c r="N15" s="53"/>
      <c r="O15" s="54" t="s">
        <v>73</v>
      </c>
      <c r="P15" s="54" t="s">
        <v>65</v>
      </c>
    </row>
    <row r="16" spans="1:16" ht="12.75" customHeight="1" thickBot="1" x14ac:dyDescent="0.25">
      <c r="A16" s="8" t="str">
        <f t="shared" si="0"/>
        <v> KVBB 24.102 </v>
      </c>
      <c r="B16" s="3" t="str">
        <f t="shared" si="1"/>
        <v>I</v>
      </c>
      <c r="C16" s="8">
        <f t="shared" si="2"/>
        <v>25448.510999999999</v>
      </c>
      <c r="D16" s="10" t="str">
        <f t="shared" si="3"/>
        <v>vis</v>
      </c>
      <c r="E16" s="51">
        <f>VLOOKUP(C16,Active!C$21:E$973,3,FALSE)</f>
        <v>-6998.07158144807</v>
      </c>
      <c r="F16" s="3" t="s">
        <v>53</v>
      </c>
      <c r="G16" s="10" t="str">
        <f t="shared" si="4"/>
        <v>25448.511</v>
      </c>
      <c r="H16" s="8">
        <f t="shared" si="5"/>
        <v>31</v>
      </c>
      <c r="I16" s="52" t="s">
        <v>74</v>
      </c>
      <c r="J16" s="53" t="s">
        <v>75</v>
      </c>
      <c r="K16" s="52">
        <v>31</v>
      </c>
      <c r="L16" s="52" t="s">
        <v>76</v>
      </c>
      <c r="M16" s="53" t="s">
        <v>58</v>
      </c>
      <c r="N16" s="53"/>
      <c r="O16" s="54" t="s">
        <v>64</v>
      </c>
      <c r="P16" s="54" t="s">
        <v>65</v>
      </c>
    </row>
    <row r="17" spans="1:16" ht="12.75" customHeight="1" thickBot="1" x14ac:dyDescent="0.25">
      <c r="A17" s="8" t="str">
        <f t="shared" si="0"/>
        <v> KVBB 24.102 </v>
      </c>
      <c r="B17" s="3" t="str">
        <f t="shared" si="1"/>
        <v>I</v>
      </c>
      <c r="C17" s="8">
        <f t="shared" si="2"/>
        <v>25475.52</v>
      </c>
      <c r="D17" s="10" t="str">
        <f t="shared" si="3"/>
        <v>vis</v>
      </c>
      <c r="E17" s="51">
        <f>VLOOKUP(C17,Active!C$21:E$973,3,FALSE)</f>
        <v>-6991.0850413180806</v>
      </c>
      <c r="F17" s="3" t="s">
        <v>53</v>
      </c>
      <c r="G17" s="10" t="str">
        <f t="shared" si="4"/>
        <v>25475.520</v>
      </c>
      <c r="H17" s="8">
        <f t="shared" si="5"/>
        <v>38</v>
      </c>
      <c r="I17" s="52" t="s">
        <v>77</v>
      </c>
      <c r="J17" s="53" t="s">
        <v>78</v>
      </c>
      <c r="K17" s="52">
        <v>38</v>
      </c>
      <c r="L17" s="52" t="s">
        <v>79</v>
      </c>
      <c r="M17" s="53" t="s">
        <v>72</v>
      </c>
      <c r="N17" s="53"/>
      <c r="O17" s="54" t="s">
        <v>73</v>
      </c>
      <c r="P17" s="54" t="s">
        <v>65</v>
      </c>
    </row>
    <row r="18" spans="1:16" ht="12.75" customHeight="1" thickBot="1" x14ac:dyDescent="0.25">
      <c r="A18" s="8" t="str">
        <f t="shared" si="0"/>
        <v> KVBB 24.102 </v>
      </c>
      <c r="B18" s="3" t="str">
        <f t="shared" si="1"/>
        <v>I</v>
      </c>
      <c r="C18" s="8">
        <f t="shared" si="2"/>
        <v>25502.58</v>
      </c>
      <c r="D18" s="10" t="str">
        <f t="shared" si="3"/>
        <v>vis</v>
      </c>
      <c r="E18" s="51">
        <f>VLOOKUP(C18,Active!C$21:E$973,3,FALSE)</f>
        <v>-6984.0853087875348</v>
      </c>
      <c r="F18" s="3" t="s">
        <v>53</v>
      </c>
      <c r="G18" s="10" t="str">
        <f t="shared" si="4"/>
        <v>25502.580</v>
      </c>
      <c r="H18" s="8">
        <f t="shared" si="5"/>
        <v>45</v>
      </c>
      <c r="I18" s="52" t="s">
        <v>80</v>
      </c>
      <c r="J18" s="53" t="s">
        <v>81</v>
      </c>
      <c r="K18" s="52">
        <v>45</v>
      </c>
      <c r="L18" s="52" t="s">
        <v>82</v>
      </c>
      <c r="M18" s="53" t="s">
        <v>72</v>
      </c>
      <c r="N18" s="53"/>
      <c r="O18" s="54" t="s">
        <v>73</v>
      </c>
      <c r="P18" s="54" t="s">
        <v>65</v>
      </c>
    </row>
    <row r="19" spans="1:16" ht="12.75" customHeight="1" thickBot="1" x14ac:dyDescent="0.25">
      <c r="A19" s="8" t="str">
        <f t="shared" si="0"/>
        <v> KVBB 24.102 </v>
      </c>
      <c r="B19" s="3" t="str">
        <f t="shared" si="1"/>
        <v>I</v>
      </c>
      <c r="C19" s="8">
        <f t="shared" si="2"/>
        <v>25506.473000000002</v>
      </c>
      <c r="D19" s="10" t="str">
        <f t="shared" si="3"/>
        <v>vis</v>
      </c>
      <c r="E19" s="51">
        <f>VLOOKUP(C19,Active!C$21:E$973,3,FALSE)</f>
        <v>-6983.0782888783915</v>
      </c>
      <c r="F19" s="3" t="s">
        <v>53</v>
      </c>
      <c r="G19" s="10" t="str">
        <f t="shared" si="4"/>
        <v>25506.473</v>
      </c>
      <c r="H19" s="8">
        <f t="shared" si="5"/>
        <v>46</v>
      </c>
      <c r="I19" s="52" t="s">
        <v>83</v>
      </c>
      <c r="J19" s="53" t="s">
        <v>84</v>
      </c>
      <c r="K19" s="52">
        <v>46</v>
      </c>
      <c r="L19" s="52" t="s">
        <v>85</v>
      </c>
      <c r="M19" s="53" t="s">
        <v>72</v>
      </c>
      <c r="N19" s="53"/>
      <c r="O19" s="54" t="s">
        <v>73</v>
      </c>
      <c r="P19" s="54" t="s">
        <v>65</v>
      </c>
    </row>
    <row r="20" spans="1:16" ht="12.75" customHeight="1" thickBot="1" x14ac:dyDescent="0.25">
      <c r="A20" s="8" t="str">
        <f t="shared" si="0"/>
        <v> KVBB 24.102 </v>
      </c>
      <c r="B20" s="3" t="str">
        <f t="shared" si="1"/>
        <v>I</v>
      </c>
      <c r="C20" s="8">
        <f t="shared" si="2"/>
        <v>26631.392</v>
      </c>
      <c r="D20" s="10" t="str">
        <f t="shared" si="3"/>
        <v>vis</v>
      </c>
      <c r="E20" s="51">
        <f>VLOOKUP(C20,Active!C$21:E$973,3,FALSE)</f>
        <v>-6692.0904057102907</v>
      </c>
      <c r="F20" s="3" t="s">
        <v>53</v>
      </c>
      <c r="G20" s="10" t="str">
        <f t="shared" si="4"/>
        <v>26631.392</v>
      </c>
      <c r="H20" s="8">
        <f t="shared" si="5"/>
        <v>337</v>
      </c>
      <c r="I20" s="52" t="s">
        <v>86</v>
      </c>
      <c r="J20" s="53" t="s">
        <v>87</v>
      </c>
      <c r="K20" s="52">
        <v>337</v>
      </c>
      <c r="L20" s="52" t="s">
        <v>88</v>
      </c>
      <c r="M20" s="53" t="s">
        <v>58</v>
      </c>
      <c r="N20" s="53"/>
      <c r="O20" s="54" t="s">
        <v>64</v>
      </c>
      <c r="P20" s="54" t="s">
        <v>65</v>
      </c>
    </row>
    <row r="21" spans="1:16" ht="12.75" customHeight="1" thickBot="1" x14ac:dyDescent="0.25">
      <c r="A21" s="8" t="str">
        <f t="shared" si="0"/>
        <v> VSS 10.217 </v>
      </c>
      <c r="B21" s="3" t="str">
        <f t="shared" si="1"/>
        <v>I</v>
      </c>
      <c r="C21" s="8">
        <f t="shared" si="2"/>
        <v>37908.464</v>
      </c>
      <c r="D21" s="10" t="str">
        <f t="shared" si="3"/>
        <v>vis</v>
      </c>
      <c r="E21" s="51">
        <f>VLOOKUP(C21,Active!C$21:E$973,3,FALSE)</f>
        <v>-3774.9992110427111</v>
      </c>
      <c r="F21" s="3" t="s">
        <v>53</v>
      </c>
      <c r="G21" s="10" t="str">
        <f t="shared" si="4"/>
        <v>37908.464</v>
      </c>
      <c r="H21" s="8">
        <f t="shared" si="5"/>
        <v>3254</v>
      </c>
      <c r="I21" s="52" t="s">
        <v>89</v>
      </c>
      <c r="J21" s="53" t="s">
        <v>90</v>
      </c>
      <c r="K21" s="52">
        <v>3254</v>
      </c>
      <c r="L21" s="52" t="s">
        <v>91</v>
      </c>
      <c r="M21" s="53" t="s">
        <v>54</v>
      </c>
      <c r="N21" s="53"/>
      <c r="O21" s="54" t="s">
        <v>92</v>
      </c>
      <c r="P21" s="54" t="s">
        <v>93</v>
      </c>
    </row>
    <row r="22" spans="1:16" ht="12.75" customHeight="1" thickBot="1" x14ac:dyDescent="0.25">
      <c r="A22" s="8" t="str">
        <f t="shared" si="0"/>
        <v> VSS 10.217 </v>
      </c>
      <c r="B22" s="3" t="str">
        <f t="shared" si="1"/>
        <v>I</v>
      </c>
      <c r="C22" s="8">
        <f t="shared" si="2"/>
        <v>37935.514000000003</v>
      </c>
      <c r="D22" s="10" t="str">
        <f t="shared" si="3"/>
        <v>vis</v>
      </c>
      <c r="E22" s="51">
        <f>VLOOKUP(C22,Active!C$21:E$973,3,FALSE)</f>
        <v>-3768.0020652573717</v>
      </c>
      <c r="F22" s="3" t="s">
        <v>53</v>
      </c>
      <c r="G22" s="10" t="str">
        <f t="shared" si="4"/>
        <v>37935.514</v>
      </c>
      <c r="H22" s="8">
        <f t="shared" si="5"/>
        <v>3261</v>
      </c>
      <c r="I22" s="52" t="s">
        <v>94</v>
      </c>
      <c r="J22" s="53" t="s">
        <v>95</v>
      </c>
      <c r="K22" s="52">
        <v>3261</v>
      </c>
      <c r="L22" s="52" t="s">
        <v>96</v>
      </c>
      <c r="M22" s="53" t="s">
        <v>54</v>
      </c>
      <c r="N22" s="53"/>
      <c r="O22" s="54" t="s">
        <v>92</v>
      </c>
      <c r="P22" s="54" t="s">
        <v>93</v>
      </c>
    </row>
    <row r="23" spans="1:16" ht="12.75" customHeight="1" thickBot="1" x14ac:dyDescent="0.25">
      <c r="A23" s="8" t="str">
        <f t="shared" si="0"/>
        <v> VSS 10.217 </v>
      </c>
      <c r="B23" s="3" t="str">
        <f t="shared" si="1"/>
        <v>I</v>
      </c>
      <c r="C23" s="8">
        <f t="shared" si="2"/>
        <v>37939.391000000003</v>
      </c>
      <c r="D23" s="10" t="str">
        <f t="shared" si="3"/>
        <v>vis</v>
      </c>
      <c r="E23" s="51">
        <f>VLOOKUP(C23,Active!C$21:E$973,3,FALSE)</f>
        <v>-3766.9991841405599</v>
      </c>
      <c r="F23" s="3" t="s">
        <v>53</v>
      </c>
      <c r="G23" s="10" t="str">
        <f t="shared" si="4"/>
        <v>37939.391</v>
      </c>
      <c r="H23" s="8">
        <f t="shared" si="5"/>
        <v>3262</v>
      </c>
      <c r="I23" s="52" t="s">
        <v>97</v>
      </c>
      <c r="J23" s="53" t="s">
        <v>98</v>
      </c>
      <c r="K23" s="52">
        <v>3262</v>
      </c>
      <c r="L23" s="52" t="s">
        <v>99</v>
      </c>
      <c r="M23" s="53" t="s">
        <v>54</v>
      </c>
      <c r="N23" s="53"/>
      <c r="O23" s="54" t="s">
        <v>92</v>
      </c>
      <c r="P23" s="54" t="s">
        <v>93</v>
      </c>
    </row>
    <row r="24" spans="1:16" ht="12.75" customHeight="1" thickBot="1" x14ac:dyDescent="0.25">
      <c r="A24" s="8" t="str">
        <f t="shared" si="0"/>
        <v> VSS 10.217 </v>
      </c>
      <c r="B24" s="3" t="str">
        <f t="shared" si="1"/>
        <v>I</v>
      </c>
      <c r="C24" s="8">
        <f t="shared" si="2"/>
        <v>44132.451999999997</v>
      </c>
      <c r="D24" s="10" t="str">
        <f t="shared" si="3"/>
        <v>vis</v>
      </c>
      <c r="E24" s="51">
        <f>VLOOKUP(C24,Active!C$21:E$973,3,FALSE)</f>
        <v>-2165.0120982073336</v>
      </c>
      <c r="F24" s="3" t="s">
        <v>53</v>
      </c>
      <c r="G24" s="10" t="str">
        <f t="shared" si="4"/>
        <v>44132.452</v>
      </c>
      <c r="H24" s="8">
        <f t="shared" si="5"/>
        <v>4864</v>
      </c>
      <c r="I24" s="52" t="s">
        <v>100</v>
      </c>
      <c r="J24" s="53" t="s">
        <v>101</v>
      </c>
      <c r="K24" s="52">
        <v>4864</v>
      </c>
      <c r="L24" s="52" t="s">
        <v>102</v>
      </c>
      <c r="M24" s="53" t="s">
        <v>58</v>
      </c>
      <c r="N24" s="53"/>
      <c r="O24" s="54" t="s">
        <v>92</v>
      </c>
      <c r="P24" s="54" t="s">
        <v>93</v>
      </c>
    </row>
    <row r="25" spans="1:16" ht="12.75" customHeight="1" thickBot="1" x14ac:dyDescent="0.25">
      <c r="A25" s="8" t="str">
        <f t="shared" si="0"/>
        <v> VSS 10.217 </v>
      </c>
      <c r="B25" s="3" t="str">
        <f t="shared" si="1"/>
        <v>I</v>
      </c>
      <c r="C25" s="8">
        <f t="shared" si="2"/>
        <v>44136.357000000004</v>
      </c>
      <c r="D25" s="10" t="str">
        <f t="shared" si="3"/>
        <v>vis</v>
      </c>
      <c r="E25" s="51">
        <f>VLOOKUP(C25,Active!C$21:E$973,3,FALSE)</f>
        <v>-2164.0019742039403</v>
      </c>
      <c r="F25" s="3" t="s">
        <v>53</v>
      </c>
      <c r="G25" s="10" t="str">
        <f t="shared" si="4"/>
        <v>44136.357</v>
      </c>
      <c r="H25" s="8">
        <f t="shared" si="5"/>
        <v>4865</v>
      </c>
      <c r="I25" s="52" t="s">
        <v>103</v>
      </c>
      <c r="J25" s="53" t="s">
        <v>104</v>
      </c>
      <c r="K25" s="52">
        <v>4865</v>
      </c>
      <c r="L25" s="52" t="s">
        <v>105</v>
      </c>
      <c r="M25" s="53" t="s">
        <v>54</v>
      </c>
      <c r="N25" s="53"/>
      <c r="O25" s="54" t="s">
        <v>92</v>
      </c>
      <c r="P25" s="54" t="s">
        <v>93</v>
      </c>
    </row>
    <row r="26" spans="1:16" ht="12.75" customHeight="1" thickBot="1" x14ac:dyDescent="0.25">
      <c r="A26" s="8" t="str">
        <f t="shared" si="0"/>
        <v> VSS 10.217 </v>
      </c>
      <c r="B26" s="3" t="str">
        <f t="shared" si="1"/>
        <v>I</v>
      </c>
      <c r="C26" s="8">
        <f t="shared" si="2"/>
        <v>44167.273999999998</v>
      </c>
      <c r="D26" s="10" t="str">
        <f t="shared" si="3"/>
        <v>vis</v>
      </c>
      <c r="E26" s="51">
        <f>VLOOKUP(C26,Active!C$21:E$973,3,FALSE)</f>
        <v>-2156.0045340469987</v>
      </c>
      <c r="F26" s="3" t="s">
        <v>53</v>
      </c>
      <c r="G26" s="10" t="str">
        <f t="shared" si="4"/>
        <v>44167.274</v>
      </c>
      <c r="H26" s="8">
        <f t="shared" si="5"/>
        <v>4873</v>
      </c>
      <c r="I26" s="52" t="s">
        <v>106</v>
      </c>
      <c r="J26" s="53" t="s">
        <v>107</v>
      </c>
      <c r="K26" s="52">
        <v>4873</v>
      </c>
      <c r="L26" s="52" t="s">
        <v>108</v>
      </c>
      <c r="M26" s="53" t="s">
        <v>54</v>
      </c>
      <c r="N26" s="53"/>
      <c r="O26" s="54" t="s">
        <v>92</v>
      </c>
      <c r="P26" s="54" t="s">
        <v>93</v>
      </c>
    </row>
    <row r="27" spans="1:16" ht="12.75" customHeight="1" thickBot="1" x14ac:dyDescent="0.25">
      <c r="A27" s="8" t="str">
        <f t="shared" si="0"/>
        <v> VSS 10.217 </v>
      </c>
      <c r="B27" s="3" t="str">
        <f t="shared" si="1"/>
        <v>I</v>
      </c>
      <c r="C27" s="8">
        <f t="shared" si="2"/>
        <v>44256.233</v>
      </c>
      <c r="D27" s="10" t="str">
        <f t="shared" si="3"/>
        <v>vis</v>
      </c>
      <c r="E27" s="51">
        <f>VLOOKUP(C27,Active!C$21:E$973,3,FALSE)</f>
        <v>-2132.99310735872</v>
      </c>
      <c r="F27" s="3" t="s">
        <v>53</v>
      </c>
      <c r="G27" s="10" t="str">
        <f t="shared" si="4"/>
        <v>44256.233</v>
      </c>
      <c r="H27" s="8">
        <f t="shared" si="5"/>
        <v>4896</v>
      </c>
      <c r="I27" s="52" t="s">
        <v>109</v>
      </c>
      <c r="J27" s="53" t="s">
        <v>110</v>
      </c>
      <c r="K27" s="52">
        <v>4896</v>
      </c>
      <c r="L27" s="52" t="s">
        <v>111</v>
      </c>
      <c r="M27" s="53" t="s">
        <v>54</v>
      </c>
      <c r="N27" s="53"/>
      <c r="O27" s="54" t="s">
        <v>92</v>
      </c>
      <c r="P27" s="54" t="s">
        <v>93</v>
      </c>
    </row>
    <row r="28" spans="1:16" ht="12.75" customHeight="1" thickBot="1" x14ac:dyDescent="0.25">
      <c r="A28" s="8" t="str">
        <f t="shared" si="0"/>
        <v> BRNO 28 </v>
      </c>
      <c r="B28" s="3" t="str">
        <f t="shared" si="1"/>
        <v>I</v>
      </c>
      <c r="C28" s="8">
        <f t="shared" si="2"/>
        <v>46668.5</v>
      </c>
      <c r="D28" s="10" t="str">
        <f t="shared" si="3"/>
        <v>vis</v>
      </c>
      <c r="E28" s="51">
        <f>VLOOKUP(C28,Active!C$21:E$973,3,FALSE)</f>
        <v>-1509.0010972973159</v>
      </c>
      <c r="F28" s="3" t="s">
        <v>53</v>
      </c>
      <c r="G28" s="10" t="str">
        <f t="shared" si="4"/>
        <v>46668.500</v>
      </c>
      <c r="H28" s="8">
        <f t="shared" si="5"/>
        <v>5520</v>
      </c>
      <c r="I28" s="52" t="s">
        <v>112</v>
      </c>
      <c r="J28" s="53" t="s">
        <v>113</v>
      </c>
      <c r="K28" s="52">
        <v>5520</v>
      </c>
      <c r="L28" s="52" t="s">
        <v>114</v>
      </c>
      <c r="M28" s="53" t="s">
        <v>72</v>
      </c>
      <c r="N28" s="53"/>
      <c r="O28" s="54" t="s">
        <v>115</v>
      </c>
      <c r="P28" s="54" t="s">
        <v>116</v>
      </c>
    </row>
    <row r="29" spans="1:16" ht="12.75" customHeight="1" thickBot="1" x14ac:dyDescent="0.25">
      <c r="A29" s="8" t="str">
        <f t="shared" si="0"/>
        <v> BRNO 28 </v>
      </c>
      <c r="B29" s="3" t="str">
        <f t="shared" si="1"/>
        <v>I</v>
      </c>
      <c r="C29" s="8">
        <f t="shared" si="2"/>
        <v>46699.432999999997</v>
      </c>
      <c r="D29" s="10" t="str">
        <f t="shared" si="3"/>
        <v>vis</v>
      </c>
      <c r="E29" s="51">
        <f>VLOOKUP(C29,Active!C$21:E$973,3,FALSE)</f>
        <v>-1500.9995183480423</v>
      </c>
      <c r="F29" s="3" t="s">
        <v>53</v>
      </c>
      <c r="G29" s="10" t="str">
        <f t="shared" si="4"/>
        <v>46699.433</v>
      </c>
      <c r="H29" s="8">
        <f t="shared" si="5"/>
        <v>5528</v>
      </c>
      <c r="I29" s="52" t="s">
        <v>117</v>
      </c>
      <c r="J29" s="53" t="s">
        <v>118</v>
      </c>
      <c r="K29" s="52">
        <v>5528</v>
      </c>
      <c r="L29" s="52" t="s">
        <v>119</v>
      </c>
      <c r="M29" s="53" t="s">
        <v>72</v>
      </c>
      <c r="N29" s="53"/>
      <c r="O29" s="54" t="s">
        <v>115</v>
      </c>
      <c r="P29" s="54" t="s">
        <v>116</v>
      </c>
    </row>
    <row r="30" spans="1:16" ht="12.75" customHeight="1" thickBot="1" x14ac:dyDescent="0.25">
      <c r="A30" s="8" t="str">
        <f t="shared" si="0"/>
        <v>BAVM 203 </v>
      </c>
      <c r="B30" s="3" t="str">
        <f t="shared" si="1"/>
        <v>I</v>
      </c>
      <c r="C30" s="8">
        <f t="shared" si="2"/>
        <v>54709.356200000002</v>
      </c>
      <c r="D30" s="10" t="str">
        <f t="shared" si="3"/>
        <v>vis</v>
      </c>
      <c r="E30" s="51">
        <f>VLOOKUP(C30,Active!C$21:E$973,3,FALSE)</f>
        <v>570.9635263752316</v>
      </c>
      <c r="F30" s="3" t="s">
        <v>53</v>
      </c>
      <c r="G30" s="10" t="str">
        <f t="shared" si="4"/>
        <v>54709.3562</v>
      </c>
      <c r="H30" s="8">
        <f t="shared" si="5"/>
        <v>7600</v>
      </c>
      <c r="I30" s="52" t="s">
        <v>120</v>
      </c>
      <c r="J30" s="53" t="s">
        <v>121</v>
      </c>
      <c r="K30" s="52">
        <v>7600</v>
      </c>
      <c r="L30" s="52" t="s">
        <v>122</v>
      </c>
      <c r="M30" s="53" t="s">
        <v>123</v>
      </c>
      <c r="N30" s="53" t="s">
        <v>124</v>
      </c>
      <c r="O30" s="54" t="s">
        <v>125</v>
      </c>
      <c r="P30" s="55" t="s">
        <v>126</v>
      </c>
    </row>
    <row r="31" spans="1:16" ht="12.75" customHeight="1" thickBot="1" x14ac:dyDescent="0.25">
      <c r="A31" s="8" t="str">
        <f t="shared" si="0"/>
        <v>BAVM 212 </v>
      </c>
      <c r="B31" s="3" t="str">
        <f t="shared" si="1"/>
        <v>I</v>
      </c>
      <c r="C31" s="8">
        <f t="shared" si="2"/>
        <v>55049.546699999999</v>
      </c>
      <c r="D31" s="10" t="str">
        <f t="shared" si="3"/>
        <v>vis</v>
      </c>
      <c r="E31" s="51">
        <f>VLOOKUP(C31,Active!C$21:E$973,3,FALSE)</f>
        <v>658.96214091449781</v>
      </c>
      <c r="F31" s="3" t="s">
        <v>53</v>
      </c>
      <c r="G31" s="10" t="str">
        <f t="shared" si="4"/>
        <v>55049.5467</v>
      </c>
      <c r="H31" s="8">
        <f t="shared" si="5"/>
        <v>7688</v>
      </c>
      <c r="I31" s="52" t="s">
        <v>127</v>
      </c>
      <c r="J31" s="53" t="s">
        <v>128</v>
      </c>
      <c r="K31" s="52" t="s">
        <v>129</v>
      </c>
      <c r="L31" s="52" t="s">
        <v>130</v>
      </c>
      <c r="M31" s="53" t="s">
        <v>123</v>
      </c>
      <c r="N31" s="53" t="s">
        <v>124</v>
      </c>
      <c r="O31" s="54" t="s">
        <v>125</v>
      </c>
      <c r="P31" s="55" t="s">
        <v>131</v>
      </c>
    </row>
    <row r="32" spans="1:16" ht="12.75" customHeight="1" thickBot="1" x14ac:dyDescent="0.25">
      <c r="A32" s="8" t="str">
        <f t="shared" si="0"/>
        <v>BAVM 225 </v>
      </c>
      <c r="B32" s="3" t="str">
        <f t="shared" si="1"/>
        <v>I</v>
      </c>
      <c r="C32" s="8">
        <f t="shared" si="2"/>
        <v>55799.511599999998</v>
      </c>
      <c r="D32" s="10" t="str">
        <f t="shared" si="3"/>
        <v>vis</v>
      </c>
      <c r="E32" s="51">
        <f>VLOOKUP(C32,Active!C$21:E$973,3,FALSE)</f>
        <v>852.95895197500624</v>
      </c>
      <c r="F32" s="3" t="s">
        <v>53</v>
      </c>
      <c r="G32" s="10" t="str">
        <f t="shared" si="4"/>
        <v>55799.5116</v>
      </c>
      <c r="H32" s="8">
        <f t="shared" si="5"/>
        <v>7882</v>
      </c>
      <c r="I32" s="52" t="s">
        <v>137</v>
      </c>
      <c r="J32" s="53" t="s">
        <v>138</v>
      </c>
      <c r="K32" s="52" t="s">
        <v>139</v>
      </c>
      <c r="L32" s="52" t="s">
        <v>140</v>
      </c>
      <c r="M32" s="53" t="s">
        <v>123</v>
      </c>
      <c r="N32" s="53" t="s">
        <v>124</v>
      </c>
      <c r="O32" s="54" t="s">
        <v>125</v>
      </c>
      <c r="P32" s="55" t="s">
        <v>141</v>
      </c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</sheetData>
  <phoneticPr fontId="7" type="noConversion"/>
  <hyperlinks>
    <hyperlink ref="P30" r:id="rId1" display="http://www.bav-astro.de/sfs/BAVM_link.php?BAVMnr=203"/>
    <hyperlink ref="P31" r:id="rId2" display="http://www.bav-astro.de/sfs/BAVM_link.php?BAVMnr=212"/>
    <hyperlink ref="P11" r:id="rId3" display="http://www.bav-astro.de/sfs/BAVM_link.php?BAVMnr=215"/>
    <hyperlink ref="P32" r:id="rId4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2024-02-16T04:39:40Z</dcterms:modified>
</cp:coreProperties>
</file>