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EEAAD9E-1896-4A42-AF96-92B025DBF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8" i="1" l="1"/>
  <c r="F28" i="1"/>
  <c r="G28" i="1" s="1"/>
  <c r="Q28" i="1"/>
  <c r="F14" i="1"/>
  <c r="F15" i="1" s="1"/>
  <c r="C7" i="1"/>
  <c r="C8" i="1"/>
  <c r="E22" i="1"/>
  <c r="F22" i="1"/>
  <c r="G22" i="1"/>
  <c r="K22" i="1"/>
  <c r="E23" i="1"/>
  <c r="F23" i="1"/>
  <c r="G23" i="1"/>
  <c r="K23" i="1"/>
  <c r="E24" i="1"/>
  <c r="F24" i="1"/>
  <c r="G24" i="1"/>
  <c r="E27" i="1"/>
  <c r="F27" i="1"/>
  <c r="G27" i="1"/>
  <c r="K27" i="1"/>
  <c r="E21" i="1"/>
  <c r="F21" i="1"/>
  <c r="G21" i="1"/>
  <c r="E25" i="1"/>
  <c r="F25" i="1"/>
  <c r="G25" i="1"/>
  <c r="I25" i="1"/>
  <c r="E26" i="1"/>
  <c r="F26" i="1"/>
  <c r="U26" i="1"/>
  <c r="Q22" i="1"/>
  <c r="Q23" i="1"/>
  <c r="K24" i="1"/>
  <c r="Q24" i="1"/>
  <c r="Q27" i="1"/>
  <c r="G17" i="2"/>
  <c r="C17" i="2"/>
  <c r="E17" i="2"/>
  <c r="G13" i="2"/>
  <c r="C13" i="2"/>
  <c r="E13" i="2"/>
  <c r="G12" i="2"/>
  <c r="C12" i="2"/>
  <c r="E12" i="2"/>
  <c r="G16" i="2"/>
  <c r="C16" i="2"/>
  <c r="E16" i="2"/>
  <c r="G15" i="2"/>
  <c r="C15" i="2"/>
  <c r="E15" i="2"/>
  <c r="G14" i="2"/>
  <c r="C14" i="2"/>
  <c r="E14" i="2"/>
  <c r="G11" i="2"/>
  <c r="C11" i="2"/>
  <c r="E11" i="2"/>
  <c r="H17" i="2"/>
  <c r="D17" i="2"/>
  <c r="B17" i="2"/>
  <c r="A17" i="2"/>
  <c r="H13" i="2"/>
  <c r="D13" i="2"/>
  <c r="B13" i="2"/>
  <c r="A13" i="2"/>
  <c r="H12" i="2"/>
  <c r="D12" i="2"/>
  <c r="B12" i="2"/>
  <c r="A12" i="2"/>
  <c r="H16" i="2"/>
  <c r="D16" i="2"/>
  <c r="B16" i="2"/>
  <c r="A16" i="2"/>
  <c r="H15" i="2"/>
  <c r="D15" i="2"/>
  <c r="B15" i="2"/>
  <c r="A15" i="2"/>
  <c r="H14" i="2"/>
  <c r="D14" i="2"/>
  <c r="B14" i="2"/>
  <c r="A14" i="2"/>
  <c r="H11" i="2"/>
  <c r="D11" i="2"/>
  <c r="B11" i="2"/>
  <c r="A11" i="2"/>
  <c r="C17" i="1"/>
  <c r="Q26" i="1"/>
  <c r="Q25" i="1"/>
  <c r="Q21" i="1"/>
  <c r="H21" i="1"/>
  <c r="L28" i="1" l="1"/>
  <c r="C12" i="1"/>
  <c r="C16" i="1" s="1"/>
  <c r="D18" i="1" s="1"/>
  <c r="C11" i="1"/>
  <c r="O24" i="1" l="1"/>
  <c r="O22" i="1"/>
  <c r="O23" i="1"/>
  <c r="O26" i="1"/>
  <c r="O27" i="1"/>
  <c r="C15" i="1"/>
  <c r="O28" i="1"/>
  <c r="O25" i="1"/>
  <c r="O21" i="1"/>
  <c r="C18" i="1" l="1"/>
  <c r="F16" i="1"/>
  <c r="F17" i="1" s="1"/>
</calcChain>
</file>

<file path=xl/sharedStrings.xml><?xml version="1.0" encoding="utf-8"?>
<sst xmlns="http://schemas.openxmlformats.org/spreadsheetml/2006/main" count="127" uniqueCount="97">
  <si>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</si>
  <si>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</si>
  <si>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</si>
  <si>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</si>
  <si>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</si>
  <si>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</si>
  <si>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</si>
  <si>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</si>
  <si>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</si>
  <si>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</si>
  <si>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</si>
  <si>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</si>
  <si>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</si>
  <si>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</si>
  <si>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</si>
  <si>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</si>
  <si>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</si>
  <si>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</si>
  <si>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</si>
  <si>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</si>
  <si>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</si>
  <si>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</si>
  <si>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</si>
  <si>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</si>
  <si>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</si>
  <si>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</si>
  <si>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</si>
  <si>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</si>
  <si>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Diethelm R</t>
  </si>
  <si>
    <t>BBSAG Bull.109</t>
  </si>
  <si>
    <t>B</t>
  </si>
  <si>
    <t>BBSAG</t>
  </si>
  <si>
    <t>Cook 1997</t>
  </si>
  <si>
    <t xml:space="preserve">Cook 1997JAVSO..26...14C </t>
  </si>
  <si>
    <t>Cook</t>
  </si>
  <si>
    <t>I</t>
  </si>
  <si>
    <t>EB/DM</t>
  </si>
  <si>
    <t># of data points:</t>
  </si>
  <si>
    <t>CS Lac / GSC 03193-01609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</si>
  <si>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</si>
  <si>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</si>
  <si>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</si>
  <si>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</si>
  <si>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</si>
  <si>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</si>
  <si>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</si>
  <si>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</si>
  <si>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</si>
  <si>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</si>
  <si>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</si>
  <si>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</si>
  <si>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2427695.478 </t>
  </si>
  <si>
    <t> 14.09.1934 23:28 </t>
  </si>
  <si>
    <t> 0.000 </t>
  </si>
  <si>
    <t> V.Vyskupaitis </t>
  </si>
  <si>
    <t> BAOV 3.25 </t>
  </si>
  <si>
    <t>2428815.802 </t>
  </si>
  <si>
    <t> 09.10.1937 07:14 </t>
  </si>
  <si>
    <t> -0.029 </t>
  </si>
  <si>
    <t> I.M.Istchenko </t>
  </si>
  <si>
    <t> BTAO 2.504 </t>
  </si>
  <si>
    <t>2429442.287 </t>
  </si>
  <si>
    <t> 27.06.1939 18:53 </t>
  </si>
  <si>
    <t> -0.182 </t>
  </si>
  <si>
    <t> S.Gaposchkin </t>
  </si>
  <si>
    <t> HA 113.74 </t>
  </si>
  <si>
    <t>2435298.688 </t>
  </si>
  <si>
    <t> 10.07.1955 04:30 </t>
  </si>
  <si>
    <t>2449859.439 </t>
  </si>
  <si>
    <t> 21.05.1995 22:32 </t>
  </si>
  <si>
    <t> -0.041 </t>
  </si>
  <si>
    <t>E </t>
  </si>
  <si>
    <t> R.Diethelm </t>
  </si>
  <si>
    <t> BBS 109 </t>
  </si>
  <si>
    <t>2450275.865 </t>
  </si>
  <si>
    <t> 11.07.1996 08:45 </t>
  </si>
  <si>
    <t> 0.525 </t>
  </si>
  <si>
    <t>?</t>
  </si>
  <si>
    <t> S.P.Cook </t>
  </si>
  <si>
    <t> JAVSO 26.14 </t>
  </si>
  <si>
    <t>2457219.5146 </t>
  </si>
  <si>
    <t> 16.07.2015 00:21 </t>
  </si>
  <si>
    <t> -0.1150 </t>
  </si>
  <si>
    <t>C </t>
  </si>
  <si>
    <t>-I</t>
  </si>
  <si>
    <t> F.Agerer </t>
  </si>
  <si>
    <t>BAVM 241 (=IBVS 6157) </t>
  </si>
  <si>
    <t>BAD?</t>
  </si>
  <si>
    <t>IBVS 6157</t>
  </si>
  <si>
    <t>Add cycle</t>
  </si>
  <si>
    <t>JD today</t>
  </si>
  <si>
    <t>Old Cycle</t>
  </si>
  <si>
    <t>New Cycle</t>
  </si>
  <si>
    <t>Next ToM</t>
  </si>
  <si>
    <t>Local time</t>
  </si>
  <si>
    <t>My time zone &gt;&gt;&gt;&gt;&gt;&gt;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</si>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</sst>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13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5" fillId="2" borderId="12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3" fillId="0" borderId="0" xfId="0" applyFont="1">
      <alignment vertical="top"/>
    </xf>
    <xf numFmtId="0" fontId="2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21" fillId="0" borderId="0" xfId="0" applyFont="1" applyAlignme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CS Lac - O-C Diagr.</a:t>
            </a:r>
          </a:p>
        </c:rich>
      </c:tx>
      <c:layout>
        <c:manualLayout>
          <c:xMode val="edge"/>
          <c:yMode val="edge"/>
          <c:x val="0.3986579999647694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940345100373"/>
          <c:y val="0.14860681114551083"/>
          <c:w val="0.84966498641004251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BB-45B4-8D8D-DAD9434F2A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4">
                  <c:v>-4.0652000003319699E-2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BB-45B4-8D8D-DAD9434F2A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Cook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BB-45B4-8D8D-DAD9434F2A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-2.9064999998809071E-2</c:v>
                </c:pt>
                <c:pt idx="2">
                  <c:v>-0.1822199999987788</c:v>
                </c:pt>
                <c:pt idx="3">
                  <c:v>3.8599999970756471E-4</c:v>
                </c:pt>
                <c:pt idx="6">
                  <c:v>-0.11501799999678042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BB-45B4-8D8D-DAD9434F2A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7">
                  <c:v>-0.13161300000501797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BB-45B4-8D8D-DAD9434F2A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BB-45B4-8D8D-DAD9434F2A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1.0500000000000001E-2</c:v>
                  </c:pt>
                  <c:pt idx="7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BB-45B4-8D8D-DAD9434F2A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-4.6772064098268618E-2</c:v>
                </c:pt>
                <c:pt idx="1">
                  <c:v>-4.8817844072196977E-2</c:v>
                </c:pt>
                <c:pt idx="2">
                  <c:v>-4.9962093888123012E-2</c:v>
                </c:pt>
                <c:pt idx="3">
                  <c:v>-6.0655628531504475E-2</c:v>
                </c:pt>
                <c:pt idx="4">
                  <c:v>-8.7243833345203914E-2</c:v>
                </c:pt>
                <c:pt idx="5">
                  <c:v>-8.8003199132136653E-2</c:v>
                </c:pt>
                <c:pt idx="6">
                  <c:v>-0.10068356754680786</c:v>
                </c:pt>
                <c:pt idx="7">
                  <c:v>-0.10404696852089348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BB-45B4-8D8D-DAD9434F2A5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295</c:v>
                </c:pt>
                <c:pt idx="2">
                  <c:v>460</c:v>
                </c:pt>
                <c:pt idx="3">
                  <c:v>2002</c:v>
                </c:pt>
                <c:pt idx="4">
                  <c:v>5836</c:v>
                </c:pt>
                <c:pt idx="5">
                  <c:v>5945.5</c:v>
                </c:pt>
                <c:pt idx="6">
                  <c:v>7774</c:v>
                </c:pt>
                <c:pt idx="7">
                  <c:v>8259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5">
                  <c:v>0.52548150000075111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BB-45B4-8D8D-DAD9434F2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2032"/>
        <c:axId val="1"/>
      </c:scatterChart>
      <c:valAx>
        <c:axId val="76649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4793285067551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979865771812082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2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1960400923038"/>
          <c:y val="0.91950464396284826"/>
          <c:w val="0.7181212281350737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0</xdr:row>
      <xdr:rowOff>0</xdr:rowOff>
    </xdr:from>
    <xdr:to>
      <xdr:col>19</xdr:col>
      <xdr:colOff>295275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8599DD-096B-0A94-DE13-573442F70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8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</row>
    <row r="2" spans="1:6">
      <c r="A2" t="s">
        <v>25</v>
      </c>
      <c r="B2" s="14" t="s">
        <v>36</v>
      </c>
    </row>
    <row r="3" spans="1:6" ht="13.5" thickBot="1">
      <c r="C3" s="11"/>
    </row>
    <row r="4" spans="1:6" ht="14.25" thickTop="1" thickBot="1">
      <c r="A4" s="8" t="s">
        <v>0</v>
      </c>
      <c r="C4" s="3">
        <v>27695.477999999999</v>
      </c>
      <c r="D4" s="4">
        <v>3.7978070000000002</v>
      </c>
    </row>
    <row r="5" spans="1:6">
      <c r="A5" s="5" t="s">
        <v>95</v>
      </c>
      <c r="C5" s="45">
        <v>-9.5</v>
      </c>
    </row>
    <row r="6" spans="1:6">
      <c r="A6" s="8" t="s">
        <v>1</v>
      </c>
    </row>
    <row r="7" spans="1:6">
      <c r="A7" t="s">
        <v>2</v>
      </c>
      <c r="C7">
        <f>+C4</f>
        <v>27695.477999999999</v>
      </c>
    </row>
    <row r="8" spans="1:6">
      <c r="A8" t="s">
        <v>3</v>
      </c>
      <c r="C8">
        <f>+D4</f>
        <v>3.7978070000000002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>
        <f>INTERCEPT(G21:G993,$F21:$F993)</f>
        <v>-4.6772064098268618E-2</v>
      </c>
      <c r="D11" s="6"/>
    </row>
    <row r="12" spans="1:6">
      <c r="A12" t="s">
        <v>17</v>
      </c>
      <c r="C12">
        <f>SLOPE(G21:G993,$F21:$F993)</f>
        <v>-6.9348473692486815E-6</v>
      </c>
      <c r="D12" s="6"/>
    </row>
    <row r="13" spans="1:6">
      <c r="A13" t="s">
        <v>19</v>
      </c>
      <c r="C13" s="6" t="s">
        <v>14</v>
      </c>
      <c r="D13" s="6"/>
      <c r="E13" s="38" t="s">
        <v>89</v>
      </c>
      <c r="F13" s="39">
        <v>1</v>
      </c>
    </row>
    <row r="14" spans="1:6">
      <c r="A14" t="s">
        <v>24</v>
      </c>
      <c r="E14" s="38" t="s">
        <v>90</v>
      </c>
      <c r="F14" s="40">
        <f ca="1">NOW()+15018.5+$C$5/24</f>
        <v>60356.748066087959</v>
      </c>
    </row>
    <row r="15" spans="1:6">
      <c r="A15" s="5" t="s">
        <v>18</v>
      </c>
      <c r="C15" s="12">
        <f>(C7+C11)+(C8+C12)*INT(MAX(F21:F3533))</f>
        <v>59061.461966031478</v>
      </c>
      <c r="E15" s="38" t="s">
        <v>91</v>
      </c>
      <c r="F15" s="41">
        <f ca="1">ROUND(2*(F14-$C$7)/$C$8,0)/2+F13</f>
        <v>8601</v>
      </c>
    </row>
    <row r="16" spans="1:6">
      <c r="A16" s="8" t="s">
        <v>4</v>
      </c>
      <c r="C16" s="13">
        <f>+C8+C12</f>
        <v>3.7978000651526309</v>
      </c>
      <c r="E16" s="38" t="s">
        <v>92</v>
      </c>
      <c r="F16" s="42">
        <f ca="1">ROUND(2*(F14-$C$15)/$C$16,0)/2+F13</f>
        <v>342</v>
      </c>
    </row>
    <row r="17" spans="1:31" ht="13.5" thickBot="1">
      <c r="A17" s="15" t="s">
        <v>37</v>
      </c>
      <c r="C17">
        <f>COUNT(C21:C2191)</f>
        <v>8</v>
      </c>
      <c r="E17" s="38" t="s">
        <v>93</v>
      </c>
      <c r="F17" s="43">
        <f ca="1">+$C$15+$C$16*F16-15018.5-$C$5/24</f>
        <v>45342.205421647013</v>
      </c>
    </row>
    <row r="18" spans="1:31">
      <c r="A18" s="8" t="s">
        <v>5</v>
      </c>
      <c r="C18" s="3">
        <f>+C15</f>
        <v>59061.461966031478</v>
      </c>
      <c r="D18" s="4">
        <f>+C16</f>
        <v>3.7978000651526309</v>
      </c>
      <c r="F18" s="44" t="s">
        <v>94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34</v>
      </c>
      <c r="K20" s="10" t="s">
        <v>49</v>
      </c>
      <c r="L20" s="10" t="s">
        <v>41</v>
      </c>
      <c r="M20" s="10" t="s">
        <v>26</v>
      </c>
      <c r="N20" s="10" t="s">
        <v>27</v>
      </c>
      <c r="O20" s="10" t="s">
        <v>23</v>
      </c>
      <c r="P20" s="9" t="s">
        <v>22</v>
      </c>
      <c r="Q20" s="7" t="s">
        <v>15</v>
      </c>
      <c r="U20" s="35" t="s">
        <v>87</v>
      </c>
    </row>
    <row r="21" spans="1:31">
      <c r="A21" t="s">
        <v>12</v>
      </c>
      <c r="C21" s="16">
        <v>27695.477999999999</v>
      </c>
      <c r="D21" s="16" t="s">
        <v>14</v>
      </c>
      <c r="E21">
        <f t="shared" ref="E21:E26" si="0">+(C21-C$7)/C$8</f>
        <v>0</v>
      </c>
      <c r="F21">
        <f t="shared" ref="F21:F27" si="1">ROUND(2*E21,0)/2</f>
        <v>0</v>
      </c>
      <c r="G21">
        <f>+C21-(C$7+F21*C$8)</f>
        <v>0</v>
      </c>
      <c r="H21">
        <f>+G21</f>
        <v>0</v>
      </c>
      <c r="O21">
        <f t="shared" ref="O21:O27" si="2">+C$11+C$12*$F21</f>
        <v>-4.6772064098268618E-2</v>
      </c>
      <c r="Q21" s="2">
        <f t="shared" ref="Q21:Q26" si="3">+C21-15018.5</f>
        <v>12676.977999999999</v>
      </c>
    </row>
    <row r="22" spans="1:31">
      <c r="A22" s="32" t="s">
        <v>60</v>
      </c>
      <c r="B22" s="34" t="s">
        <v>35</v>
      </c>
      <c r="C22" s="33">
        <v>28815.802</v>
      </c>
      <c r="D22" s="33" t="s">
        <v>49</v>
      </c>
      <c r="E22">
        <f t="shared" si="0"/>
        <v>294.99234689914482</v>
      </c>
      <c r="F22">
        <f t="shared" si="1"/>
        <v>295</v>
      </c>
      <c r="G22">
        <f>+C22-(C$7+F22*C$8)</f>
        <v>-2.9064999998809071E-2</v>
      </c>
      <c r="K22">
        <f>G22</f>
        <v>-2.9064999998809071E-2</v>
      </c>
      <c r="O22">
        <f t="shared" si="2"/>
        <v>-4.8817844072196977E-2</v>
      </c>
      <c r="Q22" s="2">
        <f t="shared" si="3"/>
        <v>13797.302</v>
      </c>
    </row>
    <row r="23" spans="1:31">
      <c r="A23" s="32" t="s">
        <v>65</v>
      </c>
      <c r="B23" s="34" t="s">
        <v>35</v>
      </c>
      <c r="C23" s="33">
        <v>29442.287</v>
      </c>
      <c r="D23" s="33" t="s">
        <v>49</v>
      </c>
      <c r="E23">
        <f t="shared" si="0"/>
        <v>459.95201967872538</v>
      </c>
      <c r="F23">
        <f t="shared" si="1"/>
        <v>460</v>
      </c>
      <c r="G23">
        <f>+C23-(C$7+F23*C$8)</f>
        <v>-0.1822199999987788</v>
      </c>
      <c r="K23">
        <f>G23</f>
        <v>-0.1822199999987788</v>
      </c>
      <c r="O23">
        <f t="shared" si="2"/>
        <v>-4.9962093888123012E-2</v>
      </c>
      <c r="Q23" s="2">
        <f t="shared" si="3"/>
        <v>14423.787</v>
      </c>
    </row>
    <row r="24" spans="1:31">
      <c r="A24" s="32" t="s">
        <v>55</v>
      </c>
      <c r="B24" s="34" t="s">
        <v>35</v>
      </c>
      <c r="C24" s="33">
        <v>35298.688000000002</v>
      </c>
      <c r="D24" s="33" t="s">
        <v>49</v>
      </c>
      <c r="E24">
        <f t="shared" si="0"/>
        <v>2002.0001016376036</v>
      </c>
      <c r="F24">
        <f t="shared" si="1"/>
        <v>2002</v>
      </c>
      <c r="G24">
        <f>+C24-(C$7+F24*C$8)</f>
        <v>3.8599999970756471E-4</v>
      </c>
      <c r="K24">
        <f>G24</f>
        <v>3.8599999970756471E-4</v>
      </c>
      <c r="O24">
        <f t="shared" si="2"/>
        <v>-6.0655628531504475E-2</v>
      </c>
      <c r="Q24" s="2">
        <f t="shared" si="3"/>
        <v>20280.188000000002</v>
      </c>
    </row>
    <row r="25" spans="1:31">
      <c r="A25" t="s">
        <v>29</v>
      </c>
      <c r="C25" s="17">
        <v>49859.438999999998</v>
      </c>
      <c r="D25" s="16">
        <v>4.0000000000000001E-3</v>
      </c>
      <c r="E25">
        <f t="shared" si="0"/>
        <v>5835.9892959278868</v>
      </c>
      <c r="F25">
        <f t="shared" si="1"/>
        <v>5836</v>
      </c>
      <c r="G25">
        <f>+C25-(C$7+F25*C$8)</f>
        <v>-4.0652000003319699E-2</v>
      </c>
      <c r="I25">
        <f>+G25</f>
        <v>-4.0652000003319699E-2</v>
      </c>
      <c r="O25">
        <f t="shared" si="2"/>
        <v>-8.7243833345203914E-2</v>
      </c>
      <c r="Q25" s="2">
        <f t="shared" si="3"/>
        <v>34840.938999999998</v>
      </c>
      <c r="AA25">
        <v>14</v>
      </c>
      <c r="AC25" t="s">
        <v>28</v>
      </c>
      <c r="AE25" t="s">
        <v>30</v>
      </c>
    </row>
    <row r="26" spans="1:31">
      <c r="A26" t="s">
        <v>32</v>
      </c>
      <c r="B26" s="6" t="s">
        <v>35</v>
      </c>
      <c r="C26" s="16">
        <v>50275.864999999998</v>
      </c>
      <c r="D26" s="16">
        <v>4.0000000000000001E-3</v>
      </c>
      <c r="E26">
        <f t="shared" si="0"/>
        <v>5945.6383644561183</v>
      </c>
      <c r="F26">
        <f t="shared" si="1"/>
        <v>5945.5</v>
      </c>
      <c r="O26">
        <f t="shared" si="2"/>
        <v>-8.8003199132136653E-2</v>
      </c>
      <c r="Q26" s="2">
        <f t="shared" si="3"/>
        <v>35257.364999999998</v>
      </c>
      <c r="R26" t="s">
        <v>33</v>
      </c>
      <c r="U26">
        <f>+C26-(C$7+F26*C$8)</f>
        <v>0.52548150000075111</v>
      </c>
    </row>
    <row r="27" spans="1:31">
      <c r="A27" s="36" t="s">
        <v>88</v>
      </c>
      <c r="B27" s="37"/>
      <c r="C27" s="36">
        <v>57219.514600000002</v>
      </c>
      <c r="D27" s="36">
        <v>1.0500000000000001E-2</v>
      </c>
      <c r="E27">
        <f>+(C27-C$7)/C$8</f>
        <v>7773.9697146274157</v>
      </c>
      <c r="F27">
        <f t="shared" si="1"/>
        <v>7774</v>
      </c>
      <c r="G27">
        <f>+C27-(C$7+F27*C$8)</f>
        <v>-0.11501799999678042</v>
      </c>
      <c r="K27">
        <f>G27</f>
        <v>-0.11501799999678042</v>
      </c>
      <c r="O27">
        <f t="shared" si="2"/>
        <v>-0.10068356754680786</v>
      </c>
      <c r="Q27" s="2">
        <f>+C27-15018.5</f>
        <v>42201.014600000002</v>
      </c>
    </row>
    <row r="28" spans="1:31">
      <c r="A28" s="46" t="s">
        <v>96</v>
      </c>
      <c r="B28" s="47" t="s">
        <v>35</v>
      </c>
      <c r="C28" s="48">
        <v>59061.434399999998</v>
      </c>
      <c r="D28" s="49">
        <v>3.5999999999999999E-3</v>
      </c>
      <c r="E28">
        <f>+(C28-C$7)/C$8</f>
        <v>8258.9653450004171</v>
      </c>
      <c r="F28">
        <f t="shared" ref="F28" si="4">ROUND(2*E28,0)/2</f>
        <v>8259</v>
      </c>
      <c r="G28">
        <f>+C28-(C$7+F28*C$8)</f>
        <v>-0.13161300000501797</v>
      </c>
      <c r="L28">
        <f>G28</f>
        <v>-0.13161300000501797</v>
      </c>
      <c r="O28">
        <f t="shared" ref="O28" si="5">+C$11+C$12*$F28</f>
        <v>-0.10404696852089348</v>
      </c>
      <c r="Q28" s="2">
        <f>+C28-15018.5</f>
        <v>44042.934399999998</v>
      </c>
    </row>
    <row r="29" spans="1:31">
      <c r="C29" s="16"/>
      <c r="D29" s="16"/>
    </row>
    <row r="30" spans="1:31">
      <c r="C30" s="16"/>
      <c r="D30" s="16"/>
    </row>
    <row r="31" spans="1:31">
      <c r="C31" s="16"/>
      <c r="D31" s="16"/>
    </row>
    <row r="32" spans="1:31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7"/>
  <sheetViews>
    <sheetView workbookViewId="0">
      <selection activeCell="A14" sqref="A14:D17"/>
    </sheetView>
  </sheetViews>
  <sheetFormatPr defaultRowHeight="12.75"/>
  <cols>
    <col min="1" max="1" width="19.7109375" style="16" customWidth="1"/>
    <col min="2" max="2" width="4.42578125" style="19" customWidth="1"/>
    <col min="3" max="3" width="12.7109375" style="1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18" t="s">
        <v>39</v>
      </c>
      <c r="I1" s="20" t="s">
        <v>40</v>
      </c>
      <c r="J1" s="21" t="s">
        <v>41</v>
      </c>
    </row>
    <row r="2" spans="1:16">
      <c r="I2" s="22" t="s">
        <v>42</v>
      </c>
      <c r="J2" s="23" t="s">
        <v>43</v>
      </c>
    </row>
    <row r="3" spans="1:16">
      <c r="A3" s="24" t="s">
        <v>44</v>
      </c>
      <c r="I3" s="22" t="s">
        <v>45</v>
      </c>
      <c r="J3" s="23" t="s">
        <v>46</v>
      </c>
    </row>
    <row r="4" spans="1:16">
      <c r="I4" s="22" t="s">
        <v>47</v>
      </c>
      <c r="J4" s="23" t="s">
        <v>46</v>
      </c>
    </row>
    <row r="5" spans="1:16" ht="13.5" thickBot="1">
      <c r="I5" s="25" t="s">
        <v>48</v>
      </c>
      <c r="J5" s="26" t="s">
        <v>49</v>
      </c>
    </row>
    <row r="10" spans="1:16" ht="13.5" thickBot="1"/>
    <row r="11" spans="1:16" ht="12.75" customHeight="1" thickBot="1">
      <c r="A11" s="16" t="str">
        <f t="shared" ref="A11:A17" si="0">P11</f>
        <v> BAOV 3.25 </v>
      </c>
      <c r="B11" s="6" t="str">
        <f t="shared" ref="B11:B17" si="1">IF(H11=INT(H11),"I","II")</f>
        <v>I</v>
      </c>
      <c r="C11" s="16">
        <f t="shared" ref="C11:C17" si="2">1*G11</f>
        <v>27695.477999999999</v>
      </c>
      <c r="D11" s="19" t="str">
        <f t="shared" ref="D11:D17" si="3">VLOOKUP(F11,I$1:J$5,2,FALSE)</f>
        <v>vis</v>
      </c>
      <c r="E11" s="27">
        <f>VLOOKUP(C11,Active!C$21:E$973,3,FALSE)</f>
        <v>0</v>
      </c>
      <c r="F11" s="6" t="s">
        <v>48</v>
      </c>
      <c r="G11" s="19" t="str">
        <f t="shared" ref="G11:G17" si="4">MID(I11,3,LEN(I11)-3)</f>
        <v>27695.478</v>
      </c>
      <c r="H11" s="16">
        <f t="shared" ref="H11:H17" si="5">1*K11</f>
        <v>0</v>
      </c>
      <c r="I11" s="28" t="s">
        <v>51</v>
      </c>
      <c r="J11" s="29" t="s">
        <v>52</v>
      </c>
      <c r="K11" s="28">
        <v>0</v>
      </c>
      <c r="L11" s="28" t="s">
        <v>53</v>
      </c>
      <c r="M11" s="29" t="s">
        <v>50</v>
      </c>
      <c r="N11" s="29"/>
      <c r="O11" s="30" t="s">
        <v>54</v>
      </c>
      <c r="P11" s="30" t="s">
        <v>55</v>
      </c>
    </row>
    <row r="12" spans="1:16" ht="12.75" customHeight="1" thickBot="1">
      <c r="A12" s="16" t="str">
        <f t="shared" si="0"/>
        <v> BBS 109 </v>
      </c>
      <c r="B12" s="6" t="str">
        <f t="shared" si="1"/>
        <v>I</v>
      </c>
      <c r="C12" s="16">
        <f t="shared" si="2"/>
        <v>49859.438999999998</v>
      </c>
      <c r="D12" s="19" t="str">
        <f t="shared" si="3"/>
        <v>vis</v>
      </c>
      <c r="E12" s="27">
        <f>VLOOKUP(C12,Active!C$21:E$973,3,FALSE)</f>
        <v>5835.9892959278868</v>
      </c>
      <c r="F12" s="6" t="s">
        <v>48</v>
      </c>
      <c r="G12" s="19" t="str">
        <f t="shared" si="4"/>
        <v>49859.439</v>
      </c>
      <c r="H12" s="16">
        <f t="shared" si="5"/>
        <v>5836</v>
      </c>
      <c r="I12" s="28" t="s">
        <v>68</v>
      </c>
      <c r="J12" s="29" t="s">
        <v>69</v>
      </c>
      <c r="K12" s="28">
        <v>5836</v>
      </c>
      <c r="L12" s="28" t="s">
        <v>70</v>
      </c>
      <c r="M12" s="29" t="s">
        <v>71</v>
      </c>
      <c r="N12" s="29" t="s">
        <v>30</v>
      </c>
      <c r="O12" s="30" t="s">
        <v>72</v>
      </c>
      <c r="P12" s="30" t="s">
        <v>73</v>
      </c>
    </row>
    <row r="13" spans="1:16" ht="12.75" customHeight="1" thickBot="1">
      <c r="A13" s="16" t="str">
        <f t="shared" si="0"/>
        <v> JAVSO 26.14 </v>
      </c>
      <c r="B13" s="6" t="str">
        <f t="shared" si="1"/>
        <v>II</v>
      </c>
      <c r="C13" s="16">
        <f t="shared" si="2"/>
        <v>50275.864999999998</v>
      </c>
      <c r="D13" s="19" t="str">
        <f t="shared" si="3"/>
        <v>vis</v>
      </c>
      <c r="E13" s="27">
        <f>VLOOKUP(C13,Active!C$21:E$973,3,FALSE)</f>
        <v>5945.6383644561183</v>
      </c>
      <c r="F13" s="6" t="s">
        <v>48</v>
      </c>
      <c r="G13" s="19" t="str">
        <f t="shared" si="4"/>
        <v>50275.865</v>
      </c>
      <c r="H13" s="16">
        <f t="shared" si="5"/>
        <v>5945.5</v>
      </c>
      <c r="I13" s="28" t="s">
        <v>74</v>
      </c>
      <c r="J13" s="29" t="s">
        <v>75</v>
      </c>
      <c r="K13" s="28">
        <v>5945.5</v>
      </c>
      <c r="L13" s="28" t="s">
        <v>76</v>
      </c>
      <c r="M13" s="29" t="s">
        <v>71</v>
      </c>
      <c r="N13" s="29" t="s">
        <v>77</v>
      </c>
      <c r="O13" s="30" t="s">
        <v>78</v>
      </c>
      <c r="P13" s="30" t="s">
        <v>79</v>
      </c>
    </row>
    <row r="14" spans="1:16" ht="12.75" customHeight="1" thickBot="1">
      <c r="A14" s="16" t="str">
        <f t="shared" si="0"/>
        <v> BTAO 2.504 </v>
      </c>
      <c r="B14" s="6" t="str">
        <f t="shared" si="1"/>
        <v>I</v>
      </c>
      <c r="C14" s="16">
        <f t="shared" si="2"/>
        <v>28815.802</v>
      </c>
      <c r="D14" s="19" t="str">
        <f t="shared" si="3"/>
        <v>vis</v>
      </c>
      <c r="E14" s="27">
        <f>VLOOKUP(C14,Active!C$21:E$973,3,FALSE)</f>
        <v>294.99234689914482</v>
      </c>
      <c r="F14" s="6" t="s">
        <v>48</v>
      </c>
      <c r="G14" s="19" t="str">
        <f t="shared" si="4"/>
        <v>28815.802</v>
      </c>
      <c r="H14" s="16">
        <f t="shared" si="5"/>
        <v>295</v>
      </c>
      <c r="I14" s="28" t="s">
        <v>56</v>
      </c>
      <c r="J14" s="29" t="s">
        <v>57</v>
      </c>
      <c r="K14" s="28">
        <v>295</v>
      </c>
      <c r="L14" s="28" t="s">
        <v>58</v>
      </c>
      <c r="M14" s="29" t="s">
        <v>50</v>
      </c>
      <c r="N14" s="29"/>
      <c r="O14" s="30" t="s">
        <v>59</v>
      </c>
      <c r="P14" s="30" t="s">
        <v>60</v>
      </c>
    </row>
    <row r="15" spans="1:16" ht="12.75" customHeight="1" thickBot="1">
      <c r="A15" s="16" t="str">
        <f t="shared" si="0"/>
        <v> HA 113.74 </v>
      </c>
      <c r="B15" s="6" t="str">
        <f t="shared" si="1"/>
        <v>I</v>
      </c>
      <c r="C15" s="16">
        <f t="shared" si="2"/>
        <v>29442.287</v>
      </c>
      <c r="D15" s="19" t="str">
        <f t="shared" si="3"/>
        <v>vis</v>
      </c>
      <c r="E15" s="27">
        <f>VLOOKUP(C15,Active!C$21:E$973,3,FALSE)</f>
        <v>459.95201967872538</v>
      </c>
      <c r="F15" s="6" t="s">
        <v>48</v>
      </c>
      <c r="G15" s="19" t="str">
        <f t="shared" si="4"/>
        <v>29442.287</v>
      </c>
      <c r="H15" s="16">
        <f t="shared" si="5"/>
        <v>460</v>
      </c>
      <c r="I15" s="28" t="s">
        <v>61</v>
      </c>
      <c r="J15" s="29" t="s">
        <v>62</v>
      </c>
      <c r="K15" s="28">
        <v>460</v>
      </c>
      <c r="L15" s="28" t="s">
        <v>63</v>
      </c>
      <c r="M15" s="29" t="s">
        <v>50</v>
      </c>
      <c r="N15" s="29"/>
      <c r="O15" s="30" t="s">
        <v>64</v>
      </c>
      <c r="P15" s="30" t="s">
        <v>65</v>
      </c>
    </row>
    <row r="16" spans="1:16" ht="12.75" customHeight="1" thickBot="1">
      <c r="A16" s="16" t="str">
        <f t="shared" si="0"/>
        <v> BAOV 3.25 </v>
      </c>
      <c r="B16" s="6" t="str">
        <f t="shared" si="1"/>
        <v>I</v>
      </c>
      <c r="C16" s="16">
        <f t="shared" si="2"/>
        <v>35298.688000000002</v>
      </c>
      <c r="D16" s="19" t="str">
        <f t="shared" si="3"/>
        <v>vis</v>
      </c>
      <c r="E16" s="27">
        <f>VLOOKUP(C16,Active!C$21:E$973,3,FALSE)</f>
        <v>2002.0001016376036</v>
      </c>
      <c r="F16" s="6" t="s">
        <v>48</v>
      </c>
      <c r="G16" s="19" t="str">
        <f t="shared" si="4"/>
        <v>35298.688</v>
      </c>
      <c r="H16" s="16">
        <f t="shared" si="5"/>
        <v>2002</v>
      </c>
      <c r="I16" s="28" t="s">
        <v>66</v>
      </c>
      <c r="J16" s="29" t="s">
        <v>67</v>
      </c>
      <c r="K16" s="28">
        <v>2002</v>
      </c>
      <c r="L16" s="28" t="s">
        <v>53</v>
      </c>
      <c r="M16" s="29" t="s">
        <v>50</v>
      </c>
      <c r="N16" s="29"/>
      <c r="O16" s="30" t="s">
        <v>54</v>
      </c>
      <c r="P16" s="30" t="s">
        <v>55</v>
      </c>
    </row>
    <row r="17" spans="1:16" ht="12.75" customHeight="1" thickBot="1">
      <c r="A17" s="16" t="str">
        <f t="shared" si="0"/>
        <v>BAVM 241 (=IBVS 6157) </v>
      </c>
      <c r="B17" s="6" t="str">
        <f t="shared" si="1"/>
        <v>I</v>
      </c>
      <c r="C17" s="16">
        <f t="shared" si="2"/>
        <v>57219.514600000002</v>
      </c>
      <c r="D17" s="19" t="str">
        <f t="shared" si="3"/>
        <v>vis</v>
      </c>
      <c r="E17" s="27">
        <f>VLOOKUP(C17,Active!C$21:E$973,3,FALSE)</f>
        <v>7773.9697146274157</v>
      </c>
      <c r="F17" s="6" t="s">
        <v>48</v>
      </c>
      <c r="G17" s="19" t="str">
        <f t="shared" si="4"/>
        <v>57219.5146</v>
      </c>
      <c r="H17" s="16">
        <f t="shared" si="5"/>
        <v>7774</v>
      </c>
      <c r="I17" s="28" t="s">
        <v>80</v>
      </c>
      <c r="J17" s="29" t="s">
        <v>81</v>
      </c>
      <c r="K17" s="28">
        <v>7774</v>
      </c>
      <c r="L17" s="28" t="s">
        <v>82</v>
      </c>
      <c r="M17" s="29" t="s">
        <v>83</v>
      </c>
      <c r="N17" s="29" t="s">
        <v>84</v>
      </c>
      <c r="O17" s="30" t="s">
        <v>85</v>
      </c>
      <c r="P17" s="31" t="s">
        <v>86</v>
      </c>
    </row>
    <row r="18" spans="1:16">
      <c r="B18" s="6"/>
      <c r="E18" s="27"/>
      <c r="F18" s="6"/>
    </row>
    <row r="19" spans="1:16">
      <c r="B19" s="6"/>
      <c r="E19" s="27"/>
      <c r="F19" s="6"/>
    </row>
    <row r="20" spans="1:16">
      <c r="B20" s="6"/>
      <c r="E20" s="27"/>
      <c r="F20" s="6"/>
    </row>
    <row r="21" spans="1:16">
      <c r="B21" s="6"/>
      <c r="E21" s="27"/>
      <c r="F21" s="6"/>
    </row>
    <row r="22" spans="1:16">
      <c r="B22" s="6"/>
      <c r="E22" s="27"/>
      <c r="F22" s="6"/>
    </row>
    <row r="23" spans="1:16">
      <c r="B23" s="6"/>
      <c r="E23" s="27"/>
      <c r="F23" s="6"/>
    </row>
    <row r="24" spans="1:16">
      <c r="B24" s="6"/>
      <c r="E24" s="27"/>
      <c r="F24" s="6"/>
    </row>
    <row r="25" spans="1:16">
      <c r="B25" s="6"/>
      <c r="E25" s="27"/>
      <c r="F25" s="6"/>
    </row>
    <row r="26" spans="1:16">
      <c r="B26" s="6"/>
      <c r="E26" s="27"/>
      <c r="F26" s="6"/>
    </row>
    <row r="27" spans="1:16">
      <c r="B27" s="6"/>
      <c r="E27" s="27"/>
      <c r="F27" s="6"/>
    </row>
    <row r="28" spans="1:16">
      <c r="B28" s="6"/>
      <c r="E28" s="27"/>
      <c r="F28" s="6"/>
    </row>
    <row r="29" spans="1:16">
      <c r="B29" s="6"/>
      <c r="E29" s="27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</sheetData>
  <phoneticPr fontId="8" type="noConversion"/>
  <hyperlinks>
    <hyperlink ref="P17" r:id="rId1" display="http://www.bav-astro.de/sfs/BAVM_link.php?BAVMnr=24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2024-02-16T04:57:59Z</dcterms:modified>
</cp:coreProperties>
</file>