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1960587-963E-4DF5-AAC1-ACA7F284F0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2" i="1" l="1"/>
  <c r="D9" i="1"/>
  <c r="C9" i="1"/>
  <c r="Q47" i="1"/>
  <c r="Q34" i="1"/>
  <c r="Q35" i="1"/>
  <c r="Q39" i="1"/>
  <c r="Q40" i="1"/>
  <c r="G30" i="2"/>
  <c r="C30" i="2"/>
  <c r="C21" i="1"/>
  <c r="G29" i="2"/>
  <c r="C29" i="2"/>
  <c r="E29" i="2"/>
  <c r="G28" i="2"/>
  <c r="C28" i="2"/>
  <c r="G27" i="2"/>
  <c r="C27" i="2"/>
  <c r="G26" i="2"/>
  <c r="C26" i="2"/>
  <c r="G34" i="2"/>
  <c r="C34" i="2"/>
  <c r="G33" i="2"/>
  <c r="C33" i="2"/>
  <c r="G25" i="2"/>
  <c r="C25" i="2"/>
  <c r="G24" i="2"/>
  <c r="C24" i="2"/>
  <c r="G23" i="2"/>
  <c r="C23" i="2"/>
  <c r="G32" i="2"/>
  <c r="C32" i="2"/>
  <c r="G31" i="2"/>
  <c r="C3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34" i="2"/>
  <c r="B34" i="2"/>
  <c r="D34" i="2"/>
  <c r="A34" i="2"/>
  <c r="H33" i="2"/>
  <c r="D33" i="2"/>
  <c r="B33" i="2"/>
  <c r="A33" i="2"/>
  <c r="H25" i="2"/>
  <c r="B25" i="2"/>
  <c r="D25" i="2"/>
  <c r="A25" i="2"/>
  <c r="H24" i="2"/>
  <c r="D24" i="2"/>
  <c r="B24" i="2"/>
  <c r="A24" i="2"/>
  <c r="H23" i="2"/>
  <c r="B23" i="2"/>
  <c r="D23" i="2"/>
  <c r="A23" i="2"/>
  <c r="H32" i="2"/>
  <c r="D32" i="2"/>
  <c r="B32" i="2"/>
  <c r="A32" i="2"/>
  <c r="H31" i="2"/>
  <c r="B31" i="2"/>
  <c r="D31" i="2"/>
  <c r="A3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33" i="1"/>
  <c r="Q38" i="1"/>
  <c r="Q46" i="1"/>
  <c r="Q43" i="1"/>
  <c r="Q44" i="1"/>
  <c r="Q45" i="1"/>
  <c r="Q41" i="1"/>
  <c r="Q37" i="1"/>
  <c r="F16" i="1"/>
  <c r="F17" i="1" s="1"/>
  <c r="C17" i="1"/>
  <c r="Q36" i="1"/>
  <c r="Q32" i="1"/>
  <c r="Q29" i="1"/>
  <c r="Q30" i="1"/>
  <c r="Q31" i="1"/>
  <c r="Q28" i="1"/>
  <c r="Q22" i="1"/>
  <c r="Q23" i="1"/>
  <c r="Q24" i="1"/>
  <c r="Q25" i="1"/>
  <c r="Q26" i="1"/>
  <c r="Q27" i="1"/>
  <c r="C7" i="1"/>
  <c r="E42" i="1"/>
  <c r="F42" i="1"/>
  <c r="C8" i="1"/>
  <c r="E26" i="1"/>
  <c r="Q21" i="1"/>
  <c r="E21" i="1"/>
  <c r="F21" i="1"/>
  <c r="G21" i="1"/>
  <c r="I21" i="1"/>
  <c r="E25" i="1"/>
  <c r="F25" i="1"/>
  <c r="G25" i="1"/>
  <c r="J25" i="1"/>
  <c r="E45" i="1"/>
  <c r="F45" i="1"/>
  <c r="G45" i="1"/>
  <c r="J45" i="1"/>
  <c r="E14" i="2"/>
  <c r="E15" i="2"/>
  <c r="F26" i="1"/>
  <c r="G26" i="1"/>
  <c r="J26" i="1"/>
  <c r="E16" i="2"/>
  <c r="E28" i="2"/>
  <c r="E13" i="2"/>
  <c r="E39" i="1"/>
  <c r="F39" i="1"/>
  <c r="G39" i="1"/>
  <c r="K39" i="1"/>
  <c r="E28" i="1"/>
  <c r="F28" i="1"/>
  <c r="G28" i="1"/>
  <c r="J28" i="1"/>
  <c r="E30" i="1"/>
  <c r="E27" i="1"/>
  <c r="F27" i="1"/>
  <c r="G27" i="1"/>
  <c r="J27" i="1"/>
  <c r="E41" i="1"/>
  <c r="E35" i="1"/>
  <c r="F35" i="1"/>
  <c r="G35" i="1"/>
  <c r="K35" i="1"/>
  <c r="E23" i="1"/>
  <c r="F23" i="1"/>
  <c r="G23" i="1"/>
  <c r="J23" i="1"/>
  <c r="E37" i="1"/>
  <c r="E47" i="1"/>
  <c r="F47" i="1"/>
  <c r="G47" i="1"/>
  <c r="K47" i="1"/>
  <c r="E24" i="1"/>
  <c r="F24" i="1"/>
  <c r="G24" i="1"/>
  <c r="J24" i="1"/>
  <c r="E32" i="1"/>
  <c r="F32" i="1"/>
  <c r="G32" i="1"/>
  <c r="J32" i="1"/>
  <c r="E36" i="1"/>
  <c r="F36" i="1"/>
  <c r="G36" i="1"/>
  <c r="K36" i="1"/>
  <c r="E38" i="1"/>
  <c r="E29" i="1"/>
  <c r="E34" i="1"/>
  <c r="E43" i="1"/>
  <c r="G42" i="1"/>
  <c r="K42" i="1"/>
  <c r="E31" i="1"/>
  <c r="F31" i="1"/>
  <c r="G31" i="1"/>
  <c r="J31" i="1"/>
  <c r="E44" i="1"/>
  <c r="F44" i="1"/>
  <c r="G44" i="1"/>
  <c r="J44" i="1"/>
  <c r="E22" i="1"/>
  <c r="F22" i="1"/>
  <c r="G22" i="1"/>
  <c r="E40" i="1"/>
  <c r="F40" i="1"/>
  <c r="G40" i="1"/>
  <c r="K40" i="1"/>
  <c r="E33" i="1"/>
  <c r="E46" i="1"/>
  <c r="F46" i="1"/>
  <c r="G46" i="1"/>
  <c r="J46" i="1"/>
  <c r="F34" i="1"/>
  <c r="G34" i="1"/>
  <c r="K34" i="1"/>
  <c r="E31" i="2"/>
  <c r="E30" i="2"/>
  <c r="E18" i="2"/>
  <c r="F29" i="1"/>
  <c r="G29" i="1"/>
  <c r="E34" i="2"/>
  <c r="E21" i="2"/>
  <c r="J22" i="1"/>
  <c r="E25" i="2"/>
  <c r="F38" i="1"/>
  <c r="G38" i="1"/>
  <c r="K38" i="1"/>
  <c r="E26" i="2"/>
  <c r="F41" i="1"/>
  <c r="G41" i="1"/>
  <c r="J41" i="1"/>
  <c r="E20" i="2"/>
  <c r="E33" i="2"/>
  <c r="E23" i="2"/>
  <c r="E27" i="2"/>
  <c r="F43" i="1"/>
  <c r="G43" i="1"/>
  <c r="J43" i="1"/>
  <c r="E22" i="2"/>
  <c r="F33" i="1"/>
  <c r="G33" i="1"/>
  <c r="J33" i="1"/>
  <c r="E12" i="2"/>
  <c r="F30" i="1"/>
  <c r="G30" i="1"/>
  <c r="J30" i="1"/>
  <c r="E19" i="2"/>
  <c r="E17" i="2"/>
  <c r="E24" i="2"/>
  <c r="F37" i="1"/>
  <c r="G37" i="1"/>
  <c r="K37" i="1"/>
  <c r="E11" i="2"/>
  <c r="E32" i="2"/>
  <c r="J29" i="1"/>
  <c r="C12" i="1"/>
  <c r="C11" i="1"/>
  <c r="O36" i="1" l="1"/>
  <c r="O23" i="1"/>
  <c r="O43" i="1"/>
  <c r="O46" i="1"/>
  <c r="O32" i="1"/>
  <c r="O35" i="1"/>
  <c r="O27" i="1"/>
  <c r="O28" i="1"/>
  <c r="O30" i="1"/>
  <c r="O47" i="1"/>
  <c r="O31" i="1"/>
  <c r="O41" i="1"/>
  <c r="O38" i="1"/>
  <c r="O33" i="1"/>
  <c r="O25" i="1"/>
  <c r="O26" i="1"/>
  <c r="O24" i="1"/>
  <c r="O21" i="1"/>
  <c r="O39" i="1"/>
  <c r="O29" i="1"/>
  <c r="O40" i="1"/>
  <c r="O44" i="1"/>
  <c r="C15" i="1"/>
  <c r="O34" i="1"/>
  <c r="O37" i="1"/>
  <c r="O45" i="1"/>
  <c r="O42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<sst xmlns="http://schemas.openxmlformats.org/spreadsheetml/2006/main" count="305" uniqueCount="169">
  <si>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</si>
  <si>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</si>
  <si>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</si>
  <si>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</si>
  <si>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</si>
  <si>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</si>
  <si>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</si>
  <si>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</si>
  <si>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</si>
  <si>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</si>
  <si>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</si>
  <si>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</si>
  <si>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</si>
  <si>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</si>
  <si>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</si>
  <si>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</si>
  <si>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</si>
  <si>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</si>
  <si>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</si>
  <si>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</si>
  <si>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</si>
  <si>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</si>
  <si>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</si>
  <si>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</si>
  <si>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</si>
  <si>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</si>
  <si>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</si>
  <si>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</si>
  <si>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EB/KE</t>
  </si>
  <si>
    <t>IBVS 5296</t>
  </si>
  <si>
    <t>IBVS 5484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</si>
  <si>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</si>
  <si>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</si>
  <si>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</si>
  <si>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</si>
  <si>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</si>
  <si>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</si>
  <si>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</si>
  <si>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</si>
  <si>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</si>
  <si>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</si>
  <si>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IBVS 5920</t>
  </si>
  <si>
    <t>Start of linear fit &gt;&gt;&gt;&gt;&gt;&gt;&gt;&gt;&gt;&gt;&gt;&gt;&gt;&gt;&gt;&gt;&gt;&gt;&gt;&gt;&gt;</t>
  </si>
  <si>
    <t>Add cycle</t>
  </si>
  <si>
    <t>Old Cycle</t>
  </si>
  <si>
    <t>IBVS 5959</t>
  </si>
  <si>
    <t>IU Lac / GSC 3969-2976</t>
  </si>
  <si>
    <t>IBVS 6070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</si>
  <si>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</si>
  <si>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</si>
  <si>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</si>
  <si>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</si>
  <si>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</si>
  <si>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</si>
  <si>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</si>
  <si>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</si>
  <si>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</si>
  <si>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</si>
  <si>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</si>
  <si>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</si>
  <si>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</si>
  <si>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</si>
  <si>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2451771.4361 </t>
  </si>
  <si>
    <t> 14.08.2000 22:27 </t>
  </si>
  <si>
    <t> 0.0097 </t>
  </si>
  <si>
    <t>E </t>
  </si>
  <si>
    <t>o</t>
  </si>
  <si>
    <t> F.Agerer </t>
  </si>
  <si>
    <t>BAVM 152 </t>
  </si>
  <si>
    <t>2451901.2891 </t>
  </si>
  <si>
    <t> 22.12.2000 18:56 </t>
  </si>
  <si>
    <t> 0.0090 </t>
  </si>
  <si>
    <t>2452083.4694 </t>
  </si>
  <si>
    <t> 22.06.2001 23:15 </t>
  </si>
  <si>
    <t> 0.0065 </t>
  </si>
  <si>
    <t>2452084.4404 </t>
  </si>
  <si>
    <t> 23.06.2001 22:34 </t>
  </si>
  <si>
    <t> 0.0084 </t>
  </si>
  <si>
    <t>2452113.5127 </t>
  </si>
  <si>
    <t> 23.07.2001 00:18 </t>
  </si>
  <si>
    <t>2452621.3002 </t>
  </si>
  <si>
    <t> 12.12.2002 19:12 </t>
  </si>
  <si>
    <t> 0.0103 </t>
  </si>
  <si>
    <t>-I</t>
  </si>
  <si>
    <t>BAVM 158 </t>
  </si>
  <si>
    <t>2453242.4655 </t>
  </si>
  <si>
    <t> 24.08.2004 23:10 </t>
  </si>
  <si>
    <t>20361</t>
  </si>
  <si>
    <t>BAVM 173 </t>
  </si>
  <si>
    <t>2453614.5804 </t>
  </si>
  <si>
    <t> 01.09.2005 01:55 </t>
  </si>
  <si>
    <t>20745</t>
  </si>
  <si>
    <t>C </t>
  </si>
  <si>
    <t> Agerer </t>
  </si>
  <si>
    <t>BAVM 178 </t>
  </si>
  <si>
    <t>2453653.3444 </t>
  </si>
  <si>
    <t> 09.10.2005 20:15 </t>
  </si>
  <si>
    <t>20785</t>
  </si>
  <si>
    <t> 0.0082 </t>
  </si>
  <si>
    <t>2453932.4367 </t>
  </si>
  <si>
    <t> 15.07.2006 22:28 </t>
  </si>
  <si>
    <t>21073</t>
  </si>
  <si>
    <t> 0.0119 </t>
  </si>
  <si>
    <t>2454031.2787 </t>
  </si>
  <si>
    <t> 22.10.2006 18:41 </t>
  </si>
  <si>
    <t>21175</t>
  </si>
  <si>
    <t> 0.0100 </t>
  </si>
  <si>
    <t> F. Agerer </t>
  </si>
  <si>
    <t>BAVM 183 </t>
  </si>
  <si>
    <t>2454718.3399 </t>
  </si>
  <si>
    <t> 08.09.2008 20:09 </t>
  </si>
  <si>
    <t>21884</t>
  </si>
  <si>
    <t> 0.0094 </t>
  </si>
  <si>
    <t>BAVM 215 </t>
  </si>
  <si>
    <t>2455058.4830 </t>
  </si>
  <si>
    <t> 14.08.2009 23:35 </t>
  </si>
  <si>
    <t>22235</t>
  </si>
  <si>
    <t> 0.0133 </t>
  </si>
  <si>
    <t>BAVM 212 </t>
  </si>
  <si>
    <t>2455062.3594 </t>
  </si>
  <si>
    <t> 18.08.2009 20:37 </t>
  </si>
  <si>
    <t>22239</t>
  </si>
  <si>
    <t> 0.0134 </t>
  </si>
  <si>
    <t>2455114.6896 </t>
  </si>
  <si>
    <t> 10.10.2009 04:33 </t>
  </si>
  <si>
    <t>22293</t>
  </si>
  <si>
    <t> 0.0145 </t>
  </si>
  <si>
    <t> R.Diethelm </t>
  </si>
  <si>
    <t>IBVS 5920 </t>
  </si>
  <si>
    <t>2455309.4688 </t>
  </si>
  <si>
    <t> 22.04.2010 23:15 </t>
  </si>
  <si>
    <t>22494</t>
  </si>
  <si>
    <t> 0.0131 </t>
  </si>
  <si>
    <t>BAVM 214 </t>
  </si>
  <si>
    <t>2455463.5477 </t>
  </si>
  <si>
    <t> 24.09.2010 01:08 </t>
  </si>
  <si>
    <t>22653</t>
  </si>
  <si>
    <t>2455839.5433 </t>
  </si>
  <si>
    <t> 05.10.2011 01:02 </t>
  </si>
  <si>
    <t>23041</t>
  </si>
  <si>
    <t>BAVM 225 </t>
  </si>
  <si>
    <t>2455873.4638 </t>
  </si>
  <si>
    <t> 07.11.2011 23:07 </t>
  </si>
  <si>
    <t>23076</t>
  </si>
  <si>
    <t> 0.0166 </t>
  </si>
  <si>
    <t>2456187.4357 </t>
  </si>
  <si>
    <t> 16.09.2012 22:27 </t>
  </si>
  <si>
    <t>23400</t>
  </si>
  <si>
    <t> 0.0139 </t>
  </si>
  <si>
    <t>BAVM 231 </t>
  </si>
  <si>
    <t>2456590.5623 </t>
  </si>
  <si>
    <t> 25.10.2013 01:29 </t>
  </si>
  <si>
    <t>23816</t>
  </si>
  <si>
    <t> 0.0125 </t>
  </si>
  <si>
    <t>BAVM 234 </t>
  </si>
  <si>
    <t>2456592.5013 </t>
  </si>
  <si>
    <t> 27.10.2013 00:01 </t>
  </si>
  <si>
    <t>23818</t>
  </si>
  <si>
    <t>2456600.2539 </t>
  </si>
  <si>
    <t> 03.11.2013 18:05 </t>
  </si>
  <si>
    <t>23826</t>
  </si>
  <si>
    <t> 0.0135 </t>
  </si>
  <si>
    <t>2456934.5795 </t>
  </si>
  <si>
    <t> 04.10.2014 01:54 </t>
  </si>
  <si>
    <t>24171</t>
  </si>
  <si>
    <t> 0.0143 </t>
  </si>
  <si>
    <t>BAVM 239 </t>
  </si>
  <si>
    <t>IBVS 6196</t>
  </si>
  <si>
    <t>IBVS 6230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</si>
</sst>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8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33" fillId="0" borderId="0" xfId="0" applyFont="1">
      <alignment vertical="top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3" fillId="0" borderId="0" xfId="42" applyFont="1" applyAlignment="1">
      <alignment wrapText="1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34" fillId="0" borderId="0" xfId="42" applyFont="1" applyAlignment="1">
      <alignment horizontal="left" vertical="center" wrapText="1"/>
    </xf>
    <xf numFmtId="0" fontId="34" fillId="0" borderId="0" xfId="42" applyFont="1" applyAlignment="1">
      <alignment horizontal="center" vertical="center" wrapText="1"/>
    </xf>
    <xf numFmtId="0" fontId="34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Lac - O-C Diagr.</a:t>
            </a:r>
          </a:p>
        </c:rich>
      </c:tx>
      <c:layout>
        <c:manualLayout>
          <c:xMode val="edge"/>
          <c:yMode val="edge"/>
          <c:x val="0.384491453915594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C8-41D4-B578-93164EC3C2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C8-41D4-B578-93164EC3C2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9.7431999965920113E-3</c:v>
                </c:pt>
                <c:pt idx="2">
                  <c:v>9.0247999978601001E-3</c:v>
                </c:pt>
                <c:pt idx="3">
                  <c:v>6.4960000017890707E-3</c:v>
                </c:pt>
                <c:pt idx="4">
                  <c:v>8.438400000159163E-3</c:v>
                </c:pt>
                <c:pt idx="5">
                  <c:v>9.0103999973507598E-3</c:v>
                </c:pt>
                <c:pt idx="6">
                  <c:v>1.0327999996661674E-2</c:v>
                </c:pt>
                <c:pt idx="7">
                  <c:v>9.7063999928650446E-3</c:v>
                </c:pt>
                <c:pt idx="8">
                  <c:v>6.4879999990807846E-3</c:v>
                </c:pt>
                <c:pt idx="9">
                  <c:v>8.1840000057127327E-3</c:v>
                </c:pt>
                <c:pt idx="10">
                  <c:v>1.1895199997525197E-2</c:v>
                </c:pt>
                <c:pt idx="11">
                  <c:v>1.0020000001532026E-2</c:v>
                </c:pt>
                <c:pt idx="12">
                  <c:v>9.3815999935031869E-3</c:v>
                </c:pt>
                <c:pt idx="20">
                  <c:v>1.3859999999112915E-2</c:v>
                </c:pt>
                <c:pt idx="22">
                  <c:v>1.2498399992182385E-2</c:v>
                </c:pt>
                <c:pt idx="23">
                  <c:v>1.3383199999225326E-2</c:v>
                </c:pt>
                <c:pt idx="24">
                  <c:v>1.3522400004148949E-2</c:v>
                </c:pt>
                <c:pt idx="25">
                  <c:v>1.425040000322042E-2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C8-41D4-B578-93164EC3C2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3">
                  <c:v>1.3264000001072418E-2</c:v>
                </c:pt>
                <c:pt idx="14">
                  <c:v>1.3433600004645996E-2</c:v>
                </c:pt>
                <c:pt idx="15">
                  <c:v>1.4523199992254376E-2</c:v>
                </c:pt>
                <c:pt idx="16">
                  <c:v>1.3145600001735147E-2</c:v>
                </c:pt>
                <c:pt idx="17">
                  <c:v>1.1887200002092868E-2</c:v>
                </c:pt>
                <c:pt idx="18">
                  <c:v>1.3138399997842498E-2</c:v>
                </c:pt>
                <c:pt idx="19">
                  <c:v>1.6622399998595938E-2</c:v>
                </c:pt>
                <c:pt idx="21">
                  <c:v>1.2172000002465211E-2</c:v>
                </c:pt>
                <c:pt idx="26">
                  <c:v>1.3427999998384621E-2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C8-41D4-B578-93164EC3C2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C8-41D4-B578-93164EC3C2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C8-41D4-B578-93164EC3C2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2.5999999999999999E-3</c:v>
                  </c:pt>
                  <c:pt idx="7">
                    <c:v>2.5999999999999999E-3</c:v>
                  </c:pt>
                  <c:pt idx="8">
                    <c:v>2.3E-3</c:v>
                  </c:pt>
                  <c:pt idx="9">
                    <c:v>1.5E-3</c:v>
                  </c:pt>
                  <c:pt idx="10">
                    <c:v>1.6000000000000001E-3</c:v>
                  </c:pt>
                  <c:pt idx="11">
                    <c:v>8.9999999999999998E-4</c:v>
                  </c:pt>
                  <c:pt idx="12">
                    <c:v>8.9999999999999998E-4</c:v>
                  </c:pt>
                  <c:pt idx="15">
                    <c:v>4.0000000000000002E-4</c:v>
                  </c:pt>
                  <c:pt idx="16">
                    <c:v>3.5999999999999999E-3</c:v>
                  </c:pt>
                  <c:pt idx="17">
                    <c:v>3.8E-3</c:v>
                  </c:pt>
                  <c:pt idx="20">
                    <c:v>2.7000000000000001E-3</c:v>
                  </c:pt>
                  <c:pt idx="21">
                    <c:v>2.0000000000000001E-4</c:v>
                  </c:pt>
                  <c:pt idx="22">
                    <c:v>2.3999999999999998E-3</c:v>
                  </c:pt>
                  <c:pt idx="23">
                    <c:v>1.1999999999999999E-3</c:v>
                  </c:pt>
                  <c:pt idx="24">
                    <c:v>2.7000000000000001E-3</c:v>
                  </c:pt>
                  <c:pt idx="25">
                    <c:v>1.6000000000000001E-3</c:v>
                  </c:pt>
                  <c:pt idx="2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C8-41D4-B578-93164EC3C2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18843</c:v>
                </c:pt>
                <c:pt idx="2">
                  <c:v>18977</c:v>
                </c:pt>
                <c:pt idx="3">
                  <c:v>19165</c:v>
                </c:pt>
                <c:pt idx="4">
                  <c:v>19166</c:v>
                </c:pt>
                <c:pt idx="5">
                  <c:v>19196</c:v>
                </c:pt>
                <c:pt idx="6">
                  <c:v>19720</c:v>
                </c:pt>
                <c:pt idx="7">
                  <c:v>20361</c:v>
                </c:pt>
                <c:pt idx="8">
                  <c:v>20745</c:v>
                </c:pt>
                <c:pt idx="9">
                  <c:v>20785</c:v>
                </c:pt>
                <c:pt idx="10">
                  <c:v>21073</c:v>
                </c:pt>
                <c:pt idx="11">
                  <c:v>21175</c:v>
                </c:pt>
                <c:pt idx="12">
                  <c:v>21884</c:v>
                </c:pt>
                <c:pt idx="13">
                  <c:v>22235</c:v>
                </c:pt>
                <c:pt idx="14">
                  <c:v>22239</c:v>
                </c:pt>
                <c:pt idx="15">
                  <c:v>22293</c:v>
                </c:pt>
                <c:pt idx="16">
                  <c:v>22494</c:v>
                </c:pt>
                <c:pt idx="17">
                  <c:v>22653</c:v>
                </c:pt>
                <c:pt idx="18">
                  <c:v>23041</c:v>
                </c:pt>
                <c:pt idx="19">
                  <c:v>23076</c:v>
                </c:pt>
                <c:pt idx="20">
                  <c:v>23400</c:v>
                </c:pt>
                <c:pt idx="21">
                  <c:v>23405</c:v>
                </c:pt>
                <c:pt idx="22">
                  <c:v>23816</c:v>
                </c:pt>
                <c:pt idx="23">
                  <c:v>23818</c:v>
                </c:pt>
                <c:pt idx="24">
                  <c:v>23826</c:v>
                </c:pt>
                <c:pt idx="25">
                  <c:v>24171</c:v>
                </c:pt>
                <c:pt idx="26">
                  <c:v>24595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-1.3271318529145634E-2</c:v>
                </c:pt>
                <c:pt idx="1">
                  <c:v>8.1260224625670022E-3</c:v>
                </c:pt>
                <c:pt idx="2">
                  <c:v>8.2781873881568498E-3</c:v>
                </c:pt>
                <c:pt idx="3">
                  <c:v>8.4916725076411154E-3</c:v>
                </c:pt>
                <c:pt idx="4">
                  <c:v>8.4928080667873058E-3</c:v>
                </c:pt>
                <c:pt idx="5">
                  <c:v>8.5268748411730932E-3</c:v>
                </c:pt>
                <c:pt idx="6">
                  <c:v>9.1219078337781666E-3</c:v>
                </c:pt>
                <c:pt idx="7">
                  <c:v>9.8498012464878111E-3</c:v>
                </c:pt>
                <c:pt idx="8">
                  <c:v>1.028585595862588E-2</c:v>
                </c:pt>
                <c:pt idx="9">
                  <c:v>1.0331278324473597E-2</c:v>
                </c:pt>
                <c:pt idx="10">
                  <c:v>1.065831935857715E-2</c:v>
                </c:pt>
                <c:pt idx="11">
                  <c:v>1.0774146391488822E-2</c:v>
                </c:pt>
                <c:pt idx="12">
                  <c:v>1.1579257826139583E-2</c:v>
                </c:pt>
                <c:pt idx="13">
                  <c:v>1.197783908645329E-2</c:v>
                </c:pt>
                <c:pt idx="14">
                  <c:v>1.1982381323038058E-2</c:v>
                </c:pt>
                <c:pt idx="15">
                  <c:v>1.2043701516932476E-2</c:v>
                </c:pt>
                <c:pt idx="16">
                  <c:v>1.2271948905317246E-2</c:v>
                </c:pt>
                <c:pt idx="17">
                  <c:v>1.2452502809561915E-2</c:v>
                </c:pt>
                <c:pt idx="18">
                  <c:v>1.289309975828476E-2</c:v>
                </c:pt>
                <c:pt idx="19">
                  <c:v>1.293284432840151E-2</c:v>
                </c:pt>
                <c:pt idx="20">
                  <c:v>1.3300765491768004E-2</c:v>
                </c:pt>
                <c:pt idx="21">
                  <c:v>1.330644328749897E-2</c:v>
                </c:pt>
                <c:pt idx="22">
                  <c:v>1.3773158096584248E-2</c:v>
                </c:pt>
                <c:pt idx="23">
                  <c:v>1.3775429214876633E-2</c:v>
                </c:pt>
                <c:pt idx="24">
                  <c:v>1.3784513688046177E-2</c:v>
                </c:pt>
                <c:pt idx="25">
                  <c:v>1.4176281593482724E-2</c:v>
                </c:pt>
                <c:pt idx="26">
                  <c:v>1.4657758671468509E-2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C8-41D4-B578-93164EC3C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637968"/>
        <c:axId val="1"/>
      </c:scatterChart>
      <c:valAx>
        <c:axId val="69463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637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47836023728051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701F66-FDE1-1CF9-2996-BD4FB4688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12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15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bav-astro.de/sfs/BAVM_link.php?BAVMnr=214" TargetMode="External"/><Relationship Id="rId20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www.konkoly.hu/cgi-bin/IBVS?5920" TargetMode="External"/><Relationship Id="rId23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12" TargetMode="External"/><Relationship Id="rId22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24</v>
      </c>
      <c r="B2" t="s">
        <v>28</v>
      </c>
    </row>
    <row r="3" spans="1:6" ht="13.5" thickBot="1" x14ac:dyDescent="0.25"/>
    <row r="4" spans="1:6" ht="14.25" thickTop="1" thickBot="1" x14ac:dyDescent="0.25">
      <c r="A4" s="7" t="s">
        <v>0</v>
      </c>
      <c r="C4" s="3">
        <v>33511.474000000002</v>
      </c>
      <c r="D4" s="4">
        <v>0.96905759999999996</v>
      </c>
    </row>
    <row r="5" spans="1:6" ht="13.5" thickTop="1" x14ac:dyDescent="0.2">
      <c r="A5" s="17" t="s">
        <v>34</v>
      </c>
      <c r="B5" s="15"/>
      <c r="C5" s="18">
        <v>-9.5</v>
      </c>
      <c r="D5" s="15" t="s">
        <v>35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33511.474000000002</v>
      </c>
    </row>
    <row r="8" spans="1:6" x14ac:dyDescent="0.2">
      <c r="A8" t="s">
        <v>3</v>
      </c>
      <c r="C8">
        <f>+D4</f>
        <v>0.96905759999999996</v>
      </c>
    </row>
    <row r="9" spans="1:6" x14ac:dyDescent="0.2">
      <c r="A9" s="34" t="s">
        <v>42</v>
      </c>
      <c r="B9" s="35">
        <v>22</v>
      </c>
      <c r="C9" s="32" t="str">
        <f>"F"&amp;B9</f>
        <v>F22</v>
      </c>
      <c r="D9" s="33" t="str">
        <f>"G"&amp;B9</f>
        <v>G22</v>
      </c>
    </row>
    <row r="10" spans="1:6" ht="13.5" thickBot="1" x14ac:dyDescent="0.25">
      <c r="A10" s="15"/>
      <c r="B10" s="15"/>
      <c r="C10" s="6" t="s">
        <v>20</v>
      </c>
      <c r="D10" s="6" t="s">
        <v>21</v>
      </c>
      <c r="E10" s="15"/>
    </row>
    <row r="11" spans="1:6" x14ac:dyDescent="0.2">
      <c r="A11" s="15" t="s">
        <v>16</v>
      </c>
      <c r="B11" s="15"/>
      <c r="C11" s="31">
        <f ca="1">INTERCEPT(INDIRECT($D$9):G992,INDIRECT($C$9):F992)</f>
        <v>-1.3271318529145634E-2</v>
      </c>
      <c r="D11" s="5"/>
      <c r="E11" s="15"/>
    </row>
    <row r="12" spans="1:6" x14ac:dyDescent="0.2">
      <c r="A12" s="15" t="s">
        <v>17</v>
      </c>
      <c r="B12" s="15"/>
      <c r="C12" s="31">
        <f ca="1">SLOPE(INDIRECT($D$9):G992,INDIRECT($C$9):F992)</f>
        <v>1.1355591461928906E-6</v>
      </c>
      <c r="D12" s="5"/>
      <c r="E12" s="15"/>
    </row>
    <row r="13" spans="1:6" x14ac:dyDescent="0.2">
      <c r="A13" s="15" t="s">
        <v>19</v>
      </c>
      <c r="B13" s="15"/>
      <c r="C13" s="5" t="s">
        <v>14</v>
      </c>
    </row>
    <row r="14" spans="1:6" x14ac:dyDescent="0.2">
      <c r="A14" s="15"/>
      <c r="B14" s="15"/>
      <c r="C14" s="15"/>
    </row>
    <row r="15" spans="1:6" x14ac:dyDescent="0.2">
      <c r="A15" s="19" t="s">
        <v>18</v>
      </c>
      <c r="B15" s="15"/>
      <c r="C15" s="20">
        <f ca="1">(C7+C11)+(C8+C12)*INT(MAX(F21:F3533))</f>
        <v>57345.460329758673</v>
      </c>
      <c r="E15" s="21" t="s">
        <v>43</v>
      </c>
      <c r="F15" s="18">
        <v>1</v>
      </c>
    </row>
    <row r="16" spans="1:6" x14ac:dyDescent="0.2">
      <c r="A16" s="23" t="s">
        <v>4</v>
      </c>
      <c r="B16" s="15"/>
      <c r="C16" s="24">
        <f ca="1">+C8+C12</f>
        <v>0.96905873555914612</v>
      </c>
      <c r="E16" s="21" t="s">
        <v>36</v>
      </c>
      <c r="F16" s="22">
        <f ca="1">NOW()+15018.5+$C$5/24</f>
        <v>60357.656840509255</v>
      </c>
    </row>
    <row r="17" spans="1:17" ht="13.5" thickBot="1" x14ac:dyDescent="0.25">
      <c r="A17" s="21" t="s">
        <v>32</v>
      </c>
      <c r="B17" s="15"/>
      <c r="C17" s="15">
        <f>COUNT(C21:C2191)</f>
        <v>27</v>
      </c>
      <c r="E17" s="21" t="s">
        <v>44</v>
      </c>
      <c r="F17" s="22">
        <f ca="1">ROUND(2*(F16-$C$7)/$C$8,0)/2+F15</f>
        <v>27704.5</v>
      </c>
    </row>
    <row r="18" spans="1:17" ht="14.25" thickTop="1" thickBot="1" x14ac:dyDescent="0.25">
      <c r="A18" s="23" t="s">
        <v>5</v>
      </c>
      <c r="B18" s="15"/>
      <c r="C18" s="26">
        <f ca="1">+C15</f>
        <v>57345.460329758673</v>
      </c>
      <c r="D18" s="27">
        <f ca="1">+C16</f>
        <v>0.96905873555914612</v>
      </c>
      <c r="E18" s="21" t="s">
        <v>37</v>
      </c>
      <c r="F18" s="33">
        <f ca="1">ROUND(2*(F16-$C$15)/$C$16,0)/2+F15</f>
        <v>3109.5</v>
      </c>
    </row>
    <row r="19" spans="1:17" ht="13.5" thickTop="1" x14ac:dyDescent="0.2">
      <c r="E19" s="21" t="s">
        <v>38</v>
      </c>
      <c r="F19" s="25">
        <f ca="1">+$C$15+$C$16*F18-15018.5-$C$5/24</f>
        <v>45340.644301313172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58</v>
      </c>
      <c r="I20" s="9" t="s">
        <v>61</v>
      </c>
      <c r="J20" s="9" t="s">
        <v>55</v>
      </c>
      <c r="K20" s="9" t="s">
        <v>53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4">
        <f>+C4</f>
        <v>33511.474000000002</v>
      </c>
      <c r="D21" s="14" t="s">
        <v>14</v>
      </c>
      <c r="E21">
        <f t="shared" ref="E21:E47" si="0">+(C21-C$7)/C$8</f>
        <v>0</v>
      </c>
      <c r="F21">
        <f t="shared" ref="F21:F47" si="1">ROUND(2*E21,0)/2</f>
        <v>0</v>
      </c>
      <c r="G21">
        <f t="shared" ref="G21:G47" si="2">+C21-(C$7+F21*C$8)</f>
        <v>0</v>
      </c>
      <c r="I21">
        <f>+G21</f>
        <v>0</v>
      </c>
      <c r="O21">
        <f t="shared" ref="O21:O47" ca="1" si="3">+C$11+C$12*$F21</f>
        <v>-1.3271318529145634E-2</v>
      </c>
      <c r="Q21" s="2">
        <f t="shared" ref="Q21:Q47" si="4">+C21-15018.5</f>
        <v>18492.974000000002</v>
      </c>
    </row>
    <row r="22" spans="1:17" x14ac:dyDescent="0.2">
      <c r="A22" s="10" t="s">
        <v>29</v>
      </c>
      <c r="B22" s="11"/>
      <c r="C22" s="28">
        <v>51771.436099999999</v>
      </c>
      <c r="D22" s="28">
        <v>1.1999999999999999E-3</v>
      </c>
      <c r="E22">
        <f t="shared" si="0"/>
        <v>18843.010054304305</v>
      </c>
      <c r="F22">
        <f t="shared" si="1"/>
        <v>18843</v>
      </c>
      <c r="G22">
        <f t="shared" si="2"/>
        <v>9.7431999965920113E-3</v>
      </c>
      <c r="J22">
        <f t="shared" ref="J22:J33" si="5">+G22</f>
        <v>9.7431999965920113E-3</v>
      </c>
      <c r="O22">
        <f t="shared" ca="1" si="3"/>
        <v>8.1260224625670022E-3</v>
      </c>
      <c r="Q22" s="2">
        <f t="shared" si="4"/>
        <v>36752.936099999999</v>
      </c>
    </row>
    <row r="23" spans="1:17" x14ac:dyDescent="0.2">
      <c r="A23" s="10" t="s">
        <v>29</v>
      </c>
      <c r="B23" s="11"/>
      <c r="C23" s="28">
        <v>51901.289100000002</v>
      </c>
      <c r="D23" s="28">
        <v>2.9999999999999997E-4</v>
      </c>
      <c r="E23">
        <f t="shared" si="0"/>
        <v>18977.009312965503</v>
      </c>
      <c r="F23">
        <f t="shared" si="1"/>
        <v>18977</v>
      </c>
      <c r="G23">
        <f t="shared" si="2"/>
        <v>9.0247999978601001E-3</v>
      </c>
      <c r="J23">
        <f t="shared" si="5"/>
        <v>9.0247999978601001E-3</v>
      </c>
      <c r="O23">
        <f t="shared" ca="1" si="3"/>
        <v>8.2781873881568498E-3</v>
      </c>
      <c r="Q23" s="2">
        <f t="shared" si="4"/>
        <v>36882.789100000002</v>
      </c>
    </row>
    <row r="24" spans="1:17" x14ac:dyDescent="0.2">
      <c r="A24" s="10" t="s">
        <v>29</v>
      </c>
      <c r="B24" s="11"/>
      <c r="C24" s="28">
        <v>52083.469400000002</v>
      </c>
      <c r="D24" s="28">
        <v>6.9999999999999999E-4</v>
      </c>
      <c r="E24">
        <f t="shared" si="0"/>
        <v>19165.006703419902</v>
      </c>
      <c r="F24">
        <f t="shared" si="1"/>
        <v>19165</v>
      </c>
      <c r="G24">
        <f t="shared" si="2"/>
        <v>6.4960000017890707E-3</v>
      </c>
      <c r="J24">
        <f t="shared" si="5"/>
        <v>6.4960000017890707E-3</v>
      </c>
      <c r="O24">
        <f t="shared" ca="1" si="3"/>
        <v>8.4916725076411154E-3</v>
      </c>
      <c r="Q24" s="2">
        <f t="shared" si="4"/>
        <v>37064.969400000002</v>
      </c>
    </row>
    <row r="25" spans="1:17" x14ac:dyDescent="0.2">
      <c r="A25" s="10" t="s">
        <v>29</v>
      </c>
      <c r="B25" s="11"/>
      <c r="C25" s="28">
        <v>52084.440399999999</v>
      </c>
      <c r="D25" s="28">
        <v>2.9999999999999997E-4</v>
      </c>
      <c r="E25">
        <f t="shared" si="0"/>
        <v>19166.008707841513</v>
      </c>
      <c r="F25">
        <f t="shared" si="1"/>
        <v>19166</v>
      </c>
      <c r="G25">
        <f t="shared" si="2"/>
        <v>8.438400000159163E-3</v>
      </c>
      <c r="J25">
        <f t="shared" si="5"/>
        <v>8.438400000159163E-3</v>
      </c>
      <c r="O25">
        <f t="shared" ca="1" si="3"/>
        <v>8.4928080667873058E-3</v>
      </c>
      <c r="Q25" s="2">
        <f t="shared" si="4"/>
        <v>37065.940399999999</v>
      </c>
    </row>
    <row r="26" spans="1:17" x14ac:dyDescent="0.2">
      <c r="A26" s="10" t="s">
        <v>29</v>
      </c>
      <c r="B26" s="11"/>
      <c r="C26" s="28">
        <v>52113.512699999999</v>
      </c>
      <c r="D26" s="28">
        <v>4.0000000000000002E-4</v>
      </c>
      <c r="E26">
        <f t="shared" si="0"/>
        <v>19196.009298105702</v>
      </c>
      <c r="F26">
        <f t="shared" si="1"/>
        <v>19196</v>
      </c>
      <c r="G26">
        <f t="shared" si="2"/>
        <v>9.0103999973507598E-3</v>
      </c>
      <c r="J26">
        <f t="shared" si="5"/>
        <v>9.0103999973507598E-3</v>
      </c>
      <c r="O26">
        <f t="shared" ca="1" si="3"/>
        <v>8.5268748411730932E-3</v>
      </c>
      <c r="Q26" s="2">
        <f t="shared" si="4"/>
        <v>37095.012699999999</v>
      </c>
    </row>
    <row r="27" spans="1:17" x14ac:dyDescent="0.2">
      <c r="A27" s="10" t="s">
        <v>30</v>
      </c>
      <c r="B27" s="11"/>
      <c r="C27" s="28">
        <v>52621.300199999998</v>
      </c>
      <c r="D27" s="28">
        <v>2.5999999999999999E-3</v>
      </c>
      <c r="E27">
        <f t="shared" si="0"/>
        <v>19720.010657777202</v>
      </c>
      <c r="F27">
        <f t="shared" si="1"/>
        <v>19720</v>
      </c>
      <c r="G27">
        <f t="shared" si="2"/>
        <v>1.0327999996661674E-2</v>
      </c>
      <c r="J27">
        <f t="shared" si="5"/>
        <v>1.0327999996661674E-2</v>
      </c>
      <c r="O27">
        <f t="shared" ca="1" si="3"/>
        <v>9.1219078337781666E-3</v>
      </c>
      <c r="Q27" s="2">
        <f t="shared" si="4"/>
        <v>37602.800199999998</v>
      </c>
    </row>
    <row r="28" spans="1:17" x14ac:dyDescent="0.2">
      <c r="A28" s="12" t="s">
        <v>31</v>
      </c>
      <c r="B28" s="13"/>
      <c r="C28" s="14">
        <v>53242.465499999998</v>
      </c>
      <c r="D28" s="14">
        <v>2.5999999999999999E-3</v>
      </c>
      <c r="E28">
        <f t="shared" si="0"/>
        <v>20361.010016329263</v>
      </c>
      <c r="F28">
        <f t="shared" si="1"/>
        <v>20361</v>
      </c>
      <c r="G28">
        <f t="shared" si="2"/>
        <v>9.7063999928650446E-3</v>
      </c>
      <c r="J28">
        <f t="shared" si="5"/>
        <v>9.7063999928650446E-3</v>
      </c>
      <c r="O28">
        <f t="shared" ca="1" si="3"/>
        <v>9.8498012464878111E-3</v>
      </c>
      <c r="Q28" s="2">
        <f t="shared" si="4"/>
        <v>38223.965499999998</v>
      </c>
    </row>
    <row r="29" spans="1:17" x14ac:dyDescent="0.2">
      <c r="A29" s="15" t="s">
        <v>33</v>
      </c>
      <c r="B29" s="16"/>
      <c r="C29" s="14">
        <v>53614.580399999999</v>
      </c>
      <c r="D29" s="14">
        <v>2.3E-3</v>
      </c>
      <c r="E29">
        <f t="shared" si="0"/>
        <v>20745.006695164455</v>
      </c>
      <c r="F29">
        <f t="shared" si="1"/>
        <v>20745</v>
      </c>
      <c r="G29">
        <f t="shared" si="2"/>
        <v>6.4879999990807846E-3</v>
      </c>
      <c r="J29">
        <f t="shared" si="5"/>
        <v>6.4879999990807846E-3</v>
      </c>
      <c r="O29">
        <f t="shared" ca="1" si="3"/>
        <v>1.028585595862588E-2</v>
      </c>
      <c r="Q29" s="2">
        <f t="shared" si="4"/>
        <v>38596.080399999999</v>
      </c>
    </row>
    <row r="30" spans="1:17" x14ac:dyDescent="0.2">
      <c r="A30" s="15" t="s">
        <v>33</v>
      </c>
      <c r="B30" s="16"/>
      <c r="C30" s="14">
        <v>53653.344400000002</v>
      </c>
      <c r="D30" s="14">
        <v>1.5E-3</v>
      </c>
      <c r="E30">
        <f t="shared" si="0"/>
        <v>20785.008445318421</v>
      </c>
      <c r="F30">
        <f t="shared" si="1"/>
        <v>20785</v>
      </c>
      <c r="G30">
        <f t="shared" si="2"/>
        <v>8.1840000057127327E-3</v>
      </c>
      <c r="J30">
        <f t="shared" si="5"/>
        <v>8.1840000057127327E-3</v>
      </c>
      <c r="O30">
        <f t="shared" ca="1" si="3"/>
        <v>1.0331278324473597E-2</v>
      </c>
      <c r="Q30" s="2">
        <f t="shared" si="4"/>
        <v>38634.844400000002</v>
      </c>
    </row>
    <row r="31" spans="1:17" x14ac:dyDescent="0.2">
      <c r="A31" s="15" t="s">
        <v>33</v>
      </c>
      <c r="B31" s="16"/>
      <c r="C31" s="14">
        <v>53932.436699999998</v>
      </c>
      <c r="D31" s="14">
        <v>1.6000000000000001E-3</v>
      </c>
      <c r="E31">
        <f t="shared" si="0"/>
        <v>21073.012275018529</v>
      </c>
      <c r="F31">
        <f t="shared" si="1"/>
        <v>21073</v>
      </c>
      <c r="G31">
        <f t="shared" si="2"/>
        <v>1.1895199997525197E-2</v>
      </c>
      <c r="J31">
        <f t="shared" si="5"/>
        <v>1.1895199997525197E-2</v>
      </c>
      <c r="O31">
        <f t="shared" ca="1" si="3"/>
        <v>1.065831935857715E-2</v>
      </c>
      <c r="Q31" s="2">
        <f t="shared" si="4"/>
        <v>38913.936699999998</v>
      </c>
    </row>
    <row r="32" spans="1:17" x14ac:dyDescent="0.2">
      <c r="A32" s="29" t="s">
        <v>39</v>
      </c>
      <c r="B32" s="13" t="s">
        <v>40</v>
      </c>
      <c r="C32" s="30">
        <v>54031.278700000003</v>
      </c>
      <c r="D32" s="14">
        <v>8.9999999999999998E-4</v>
      </c>
      <c r="E32">
        <f t="shared" si="0"/>
        <v>21175.010339942644</v>
      </c>
      <c r="F32">
        <f t="shared" si="1"/>
        <v>21175</v>
      </c>
      <c r="G32">
        <f t="shared" si="2"/>
        <v>1.0020000001532026E-2</v>
      </c>
      <c r="J32">
        <f t="shared" si="5"/>
        <v>1.0020000001532026E-2</v>
      </c>
      <c r="O32">
        <f t="shared" ca="1" si="3"/>
        <v>1.0774146391488822E-2</v>
      </c>
      <c r="Q32" s="2">
        <f t="shared" si="4"/>
        <v>39012.778700000003</v>
      </c>
    </row>
    <row r="33" spans="1:17" x14ac:dyDescent="0.2">
      <c r="A33" s="50" t="s">
        <v>49</v>
      </c>
      <c r="B33" s="50"/>
      <c r="C33" s="51">
        <v>54718.339899999999</v>
      </c>
      <c r="D33" s="51">
        <v>8.9999999999999998E-4</v>
      </c>
      <c r="E33" s="36">
        <f t="shared" si="0"/>
        <v>21884.00968115827</v>
      </c>
      <c r="F33">
        <f t="shared" si="1"/>
        <v>21884</v>
      </c>
      <c r="G33">
        <f t="shared" si="2"/>
        <v>9.3815999935031869E-3</v>
      </c>
      <c r="J33">
        <f t="shared" si="5"/>
        <v>9.3815999935031869E-3</v>
      </c>
      <c r="O33">
        <f t="shared" ca="1" si="3"/>
        <v>1.1579257826139583E-2</v>
      </c>
      <c r="Q33" s="2">
        <f t="shared" si="4"/>
        <v>39699.839899999999</v>
      </c>
    </row>
    <row r="34" spans="1:17" x14ac:dyDescent="0.2">
      <c r="A34" s="51" t="s">
        <v>118</v>
      </c>
      <c r="B34" s="52" t="s">
        <v>40</v>
      </c>
      <c r="C34" s="51">
        <v>55058.483</v>
      </c>
      <c r="D34" s="52"/>
      <c r="E34" s="36">
        <f t="shared" si="0"/>
        <v>22235.013687524868</v>
      </c>
      <c r="F34">
        <f t="shared" si="1"/>
        <v>22235</v>
      </c>
      <c r="G34">
        <f t="shared" si="2"/>
        <v>1.3264000001072418E-2</v>
      </c>
      <c r="K34">
        <f t="shared" ref="K34:K40" si="6">+G34</f>
        <v>1.3264000001072418E-2</v>
      </c>
      <c r="O34">
        <f t="shared" ca="1" si="3"/>
        <v>1.197783908645329E-2</v>
      </c>
      <c r="Q34" s="2">
        <f t="shared" si="4"/>
        <v>40039.983</v>
      </c>
    </row>
    <row r="35" spans="1:17" x14ac:dyDescent="0.2">
      <c r="A35" s="51" t="s">
        <v>118</v>
      </c>
      <c r="B35" s="52" t="s">
        <v>40</v>
      </c>
      <c r="C35" s="51">
        <v>55062.359400000001</v>
      </c>
      <c r="D35" s="52"/>
      <c r="E35" s="36">
        <f t="shared" si="0"/>
        <v>22239.013862540265</v>
      </c>
      <c r="F35">
        <f t="shared" si="1"/>
        <v>22239</v>
      </c>
      <c r="G35">
        <f t="shared" si="2"/>
        <v>1.3433600004645996E-2</v>
      </c>
      <c r="K35">
        <f t="shared" si="6"/>
        <v>1.3433600004645996E-2</v>
      </c>
      <c r="O35">
        <f t="shared" ca="1" si="3"/>
        <v>1.1982381323038058E-2</v>
      </c>
      <c r="Q35" s="2">
        <f t="shared" si="4"/>
        <v>40043.859400000001</v>
      </c>
    </row>
    <row r="36" spans="1:17" x14ac:dyDescent="0.2">
      <c r="A36" s="53" t="s">
        <v>41</v>
      </c>
      <c r="B36" s="54" t="s">
        <v>40</v>
      </c>
      <c r="C36" s="53">
        <v>55114.689599999998</v>
      </c>
      <c r="D36" s="53">
        <v>4.0000000000000002E-4</v>
      </c>
      <c r="E36">
        <f t="shared" si="0"/>
        <v>22293.01498693163</v>
      </c>
      <c r="F36">
        <f t="shared" si="1"/>
        <v>22293</v>
      </c>
      <c r="G36">
        <f t="shared" si="2"/>
        <v>1.4523199992254376E-2</v>
      </c>
      <c r="K36">
        <f t="shared" si="6"/>
        <v>1.4523199992254376E-2</v>
      </c>
      <c r="O36">
        <f t="shared" ca="1" si="3"/>
        <v>1.2043701516932476E-2</v>
      </c>
      <c r="Q36" s="2">
        <f t="shared" si="4"/>
        <v>40096.189599999998</v>
      </c>
    </row>
    <row r="37" spans="1:17" x14ac:dyDescent="0.2">
      <c r="A37" s="53" t="s">
        <v>45</v>
      </c>
      <c r="B37" s="54" t="s">
        <v>40</v>
      </c>
      <c r="C37" s="53">
        <v>55309.468800000002</v>
      </c>
      <c r="D37" s="53">
        <v>3.5999999999999999E-3</v>
      </c>
      <c r="E37">
        <f t="shared" si="0"/>
        <v>22494.01356534431</v>
      </c>
      <c r="F37">
        <f t="shared" si="1"/>
        <v>22494</v>
      </c>
      <c r="G37">
        <f t="shared" si="2"/>
        <v>1.3145600001735147E-2</v>
      </c>
      <c r="K37">
        <f t="shared" si="6"/>
        <v>1.3145600001735147E-2</v>
      </c>
      <c r="O37">
        <f t="shared" ca="1" si="3"/>
        <v>1.2271948905317246E-2</v>
      </c>
      <c r="Q37" s="2">
        <f t="shared" si="4"/>
        <v>40290.968800000002</v>
      </c>
    </row>
    <row r="38" spans="1:17" x14ac:dyDescent="0.2">
      <c r="A38" s="50" t="s">
        <v>49</v>
      </c>
      <c r="B38" s="50"/>
      <c r="C38" s="51">
        <v>55463.547700000003</v>
      </c>
      <c r="D38" s="51">
        <v>3.8E-3</v>
      </c>
      <c r="E38" s="36">
        <f t="shared" si="0"/>
        <v>22653.012266763093</v>
      </c>
      <c r="F38">
        <f t="shared" si="1"/>
        <v>22653</v>
      </c>
      <c r="G38">
        <f t="shared" si="2"/>
        <v>1.1887200002092868E-2</v>
      </c>
      <c r="K38">
        <f t="shared" si="6"/>
        <v>1.1887200002092868E-2</v>
      </c>
      <c r="O38">
        <f t="shared" ca="1" si="3"/>
        <v>1.2452502809561915E-2</v>
      </c>
      <c r="Q38" s="2">
        <f t="shared" si="4"/>
        <v>40445.047700000003</v>
      </c>
    </row>
    <row r="39" spans="1:17" x14ac:dyDescent="0.2">
      <c r="A39" s="51" t="s">
        <v>140</v>
      </c>
      <c r="B39" s="52" t="s">
        <v>40</v>
      </c>
      <c r="C39" s="51">
        <v>55839.543299999998</v>
      </c>
      <c r="D39" s="52"/>
      <c r="E39" s="36">
        <f t="shared" si="0"/>
        <v>23041.013557914408</v>
      </c>
      <c r="F39">
        <f t="shared" si="1"/>
        <v>23041</v>
      </c>
      <c r="G39">
        <f t="shared" si="2"/>
        <v>1.3138399997842498E-2</v>
      </c>
      <c r="K39">
        <f t="shared" si="6"/>
        <v>1.3138399997842498E-2</v>
      </c>
      <c r="O39">
        <f t="shared" ca="1" si="3"/>
        <v>1.289309975828476E-2</v>
      </c>
      <c r="Q39" s="2">
        <f t="shared" si="4"/>
        <v>40821.043299999998</v>
      </c>
    </row>
    <row r="40" spans="1:17" x14ac:dyDescent="0.2">
      <c r="A40" s="51" t="s">
        <v>140</v>
      </c>
      <c r="B40" s="52" t="s">
        <v>40</v>
      </c>
      <c r="C40" s="51">
        <v>55873.463799999998</v>
      </c>
      <c r="D40" s="52"/>
      <c r="E40" s="36">
        <f t="shared" si="0"/>
        <v>23076.017153159934</v>
      </c>
      <c r="F40">
        <f t="shared" si="1"/>
        <v>23076</v>
      </c>
      <c r="G40">
        <f t="shared" si="2"/>
        <v>1.6622399998595938E-2</v>
      </c>
      <c r="K40">
        <f t="shared" si="6"/>
        <v>1.6622399998595938E-2</v>
      </c>
      <c r="O40">
        <f t="shared" ca="1" si="3"/>
        <v>1.293284432840151E-2</v>
      </c>
      <c r="Q40" s="2">
        <f t="shared" si="4"/>
        <v>40854.963799999998</v>
      </c>
    </row>
    <row r="41" spans="1:17" x14ac:dyDescent="0.2">
      <c r="A41" s="50" t="s">
        <v>47</v>
      </c>
      <c r="B41" s="52" t="s">
        <v>40</v>
      </c>
      <c r="C41" s="51">
        <v>56187.435700000002</v>
      </c>
      <c r="D41" s="51">
        <v>2.7000000000000001E-3</v>
      </c>
      <c r="E41">
        <f t="shared" si="0"/>
        <v>23400.014302555392</v>
      </c>
      <c r="F41">
        <f t="shared" si="1"/>
        <v>23400</v>
      </c>
      <c r="G41">
        <f t="shared" si="2"/>
        <v>1.3859999999112915E-2</v>
      </c>
      <c r="J41">
        <f>+G41</f>
        <v>1.3859999999112915E-2</v>
      </c>
      <c r="O41">
        <f t="shared" ca="1" si="3"/>
        <v>1.3300765491768004E-2</v>
      </c>
      <c r="Q41" s="2">
        <f t="shared" si="4"/>
        <v>41168.935700000002</v>
      </c>
    </row>
    <row r="42" spans="1:17" x14ac:dyDescent="0.2">
      <c r="A42" s="61" t="s">
        <v>168</v>
      </c>
      <c r="B42" s="62" t="s">
        <v>40</v>
      </c>
      <c r="C42" s="63">
        <v>56192.279300000002</v>
      </c>
      <c r="D42" s="63">
        <v>2.0000000000000001E-4</v>
      </c>
      <c r="E42" s="36">
        <f t="shared" si="0"/>
        <v>23405.012560656869</v>
      </c>
      <c r="F42">
        <f t="shared" si="1"/>
        <v>23405</v>
      </c>
      <c r="G42">
        <f t="shared" si="2"/>
        <v>1.2172000002465211E-2</v>
      </c>
      <c r="K42">
        <f>+G42</f>
        <v>1.2172000002465211E-2</v>
      </c>
      <c r="O42">
        <f t="shared" ca="1" si="3"/>
        <v>1.330644328749897E-2</v>
      </c>
      <c r="Q42" s="2">
        <f t="shared" si="4"/>
        <v>41173.779300000002</v>
      </c>
    </row>
    <row r="43" spans="1:17" x14ac:dyDescent="0.2">
      <c r="A43" s="55" t="s">
        <v>48</v>
      </c>
      <c r="B43" s="56" t="s">
        <v>40</v>
      </c>
      <c r="C43" s="51">
        <v>56590.562299999998</v>
      </c>
      <c r="D43" s="57">
        <v>2.3999999999999998E-3</v>
      </c>
      <c r="E43" s="36">
        <f t="shared" si="0"/>
        <v>23816.012897478948</v>
      </c>
      <c r="F43">
        <f t="shared" si="1"/>
        <v>23816</v>
      </c>
      <c r="G43">
        <f t="shared" si="2"/>
        <v>1.2498399992182385E-2</v>
      </c>
      <c r="J43">
        <f>+G43</f>
        <v>1.2498399992182385E-2</v>
      </c>
      <c r="O43">
        <f t="shared" ca="1" si="3"/>
        <v>1.3773158096584248E-2</v>
      </c>
      <c r="Q43" s="2">
        <f t="shared" si="4"/>
        <v>41572.062299999998</v>
      </c>
    </row>
    <row r="44" spans="1:17" x14ac:dyDescent="0.2">
      <c r="A44" s="55" t="s">
        <v>48</v>
      </c>
      <c r="B44" s="56" t="s">
        <v>40</v>
      </c>
      <c r="C44" s="51">
        <v>56592.501300000004</v>
      </c>
      <c r="D44" s="57">
        <v>1.1999999999999999E-3</v>
      </c>
      <c r="E44" s="36">
        <f t="shared" si="0"/>
        <v>23818.013810530974</v>
      </c>
      <c r="F44">
        <f t="shared" si="1"/>
        <v>23818</v>
      </c>
      <c r="G44">
        <f t="shared" si="2"/>
        <v>1.3383199999225326E-2</v>
      </c>
      <c r="J44">
        <f>+G44</f>
        <v>1.3383199999225326E-2</v>
      </c>
      <c r="O44">
        <f t="shared" ca="1" si="3"/>
        <v>1.3775429214876633E-2</v>
      </c>
      <c r="Q44" s="2">
        <f t="shared" si="4"/>
        <v>41574.001300000004</v>
      </c>
    </row>
    <row r="45" spans="1:17" x14ac:dyDescent="0.2">
      <c r="A45" s="55" t="s">
        <v>48</v>
      </c>
      <c r="B45" s="56" t="s">
        <v>40</v>
      </c>
      <c r="C45" s="51">
        <v>56600.253900000003</v>
      </c>
      <c r="D45" s="57">
        <v>2.7000000000000001E-3</v>
      </c>
      <c r="E45" s="36">
        <f t="shared" si="0"/>
        <v>23826.013954175687</v>
      </c>
      <c r="F45">
        <f t="shared" si="1"/>
        <v>23826</v>
      </c>
      <c r="G45">
        <f t="shared" si="2"/>
        <v>1.3522400004148949E-2</v>
      </c>
      <c r="J45">
        <f>+G45</f>
        <v>1.3522400004148949E-2</v>
      </c>
      <c r="O45">
        <f t="shared" ca="1" si="3"/>
        <v>1.3784513688046177E-2</v>
      </c>
      <c r="Q45" s="2">
        <f t="shared" si="4"/>
        <v>41581.753900000003</v>
      </c>
    </row>
    <row r="46" spans="1:17" x14ac:dyDescent="0.2">
      <c r="A46" s="57" t="s">
        <v>50</v>
      </c>
      <c r="B46" s="52"/>
      <c r="C46" s="57">
        <v>56934.5795</v>
      </c>
      <c r="D46" s="57">
        <v>1.6000000000000001E-3</v>
      </c>
      <c r="E46" s="36">
        <f t="shared" si="0"/>
        <v>24171.014705421017</v>
      </c>
      <c r="F46">
        <f t="shared" si="1"/>
        <v>24171</v>
      </c>
      <c r="G46">
        <f t="shared" si="2"/>
        <v>1.425040000322042E-2</v>
      </c>
      <c r="J46">
        <f>+G46</f>
        <v>1.425040000322042E-2</v>
      </c>
      <c r="O46">
        <f t="shared" ca="1" si="3"/>
        <v>1.4176281593482724E-2</v>
      </c>
      <c r="Q46" s="2">
        <f t="shared" si="4"/>
        <v>41916.0795</v>
      </c>
    </row>
    <row r="47" spans="1:17" x14ac:dyDescent="0.2">
      <c r="A47" s="58" t="s">
        <v>167</v>
      </c>
      <c r="B47" s="59" t="s">
        <v>40</v>
      </c>
      <c r="C47" s="60">
        <v>57345.4591</v>
      </c>
      <c r="D47" s="60">
        <v>1.1999999999999999E-3</v>
      </c>
      <c r="E47" s="36">
        <f t="shared" si="0"/>
        <v>24595.013856761456</v>
      </c>
      <c r="F47">
        <f t="shared" si="1"/>
        <v>24595</v>
      </c>
      <c r="G47">
        <f t="shared" si="2"/>
        <v>1.3427999998384621E-2</v>
      </c>
      <c r="K47">
        <f>+G47</f>
        <v>1.3427999998384621E-2</v>
      </c>
      <c r="O47">
        <f t="shared" ca="1" si="3"/>
        <v>1.4657758671468509E-2</v>
      </c>
      <c r="Q47" s="2">
        <f t="shared" si="4"/>
        <v>42326.9591</v>
      </c>
    </row>
    <row r="48" spans="1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topLeftCell="A11" workbookViewId="0">
      <selection activeCell="A31" sqref="A31:C34"/>
    </sheetView>
  </sheetViews>
  <sheetFormatPr defaultRowHeight="12.75" x14ac:dyDescent="0.2"/>
  <cols>
    <col min="1" max="1" width="19.7109375" style="14" customWidth="1"/>
    <col min="2" max="2" width="4.42578125" style="15" customWidth="1"/>
    <col min="3" max="3" width="12.7109375" style="14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4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7" t="s">
        <v>51</v>
      </c>
      <c r="I1" s="38" t="s">
        <v>52</v>
      </c>
      <c r="J1" s="39" t="s">
        <v>53</v>
      </c>
    </row>
    <row r="2" spans="1:16" x14ac:dyDescent="0.2">
      <c r="I2" s="40" t="s">
        <v>54</v>
      </c>
      <c r="J2" s="41" t="s">
        <v>55</v>
      </c>
    </row>
    <row r="3" spans="1:16" x14ac:dyDescent="0.2">
      <c r="A3" s="42" t="s">
        <v>56</v>
      </c>
      <c r="I3" s="40" t="s">
        <v>57</v>
      </c>
      <c r="J3" s="41" t="s">
        <v>58</v>
      </c>
    </row>
    <row r="4" spans="1:16" x14ac:dyDescent="0.2">
      <c r="I4" s="40" t="s">
        <v>59</v>
      </c>
      <c r="J4" s="41" t="s">
        <v>58</v>
      </c>
    </row>
    <row r="5" spans="1:16" ht="13.5" thickBot="1" x14ac:dyDescent="0.25">
      <c r="I5" s="43" t="s">
        <v>60</v>
      </c>
      <c r="J5" s="44" t="s">
        <v>61</v>
      </c>
    </row>
    <row r="10" spans="1:16" ht="13.5" thickBot="1" x14ac:dyDescent="0.25"/>
    <row r="11" spans="1:16" ht="12.75" customHeight="1" thickBot="1" x14ac:dyDescent="0.25">
      <c r="A11" s="14" t="str">
        <f t="shared" ref="A11:A34" si="0">P11</f>
        <v>BAVM 152 </v>
      </c>
      <c r="B11" s="5" t="str">
        <f t="shared" ref="B11:B34" si="1">IF(H11=INT(H11),"I","II")</f>
        <v>I</v>
      </c>
      <c r="C11" s="14">
        <f t="shared" ref="C11:C34" si="2">1*G11</f>
        <v>51771.436099999999</v>
      </c>
      <c r="D11" s="15" t="str">
        <f t="shared" ref="D11:D34" si="3">VLOOKUP(F11,I$1:J$5,2,FALSE)</f>
        <v>vis</v>
      </c>
      <c r="E11" s="45">
        <f>VLOOKUP(C11,Active!C$21:E$973,3,FALSE)</f>
        <v>18843.010054304305</v>
      </c>
      <c r="F11" s="5" t="s">
        <v>60</v>
      </c>
      <c r="G11" s="15" t="str">
        <f t="shared" ref="G11:G34" si="4">MID(I11,3,LEN(I11)-3)</f>
        <v>51771.4361</v>
      </c>
      <c r="H11" s="14">
        <f t="shared" ref="H11:H34" si="5">1*K11</f>
        <v>18843</v>
      </c>
      <c r="I11" s="46" t="s">
        <v>62</v>
      </c>
      <c r="J11" s="47" t="s">
        <v>63</v>
      </c>
      <c r="K11" s="46">
        <v>18843</v>
      </c>
      <c r="L11" s="46" t="s">
        <v>64</v>
      </c>
      <c r="M11" s="47" t="s">
        <v>65</v>
      </c>
      <c r="N11" s="47" t="s">
        <v>66</v>
      </c>
      <c r="O11" s="48" t="s">
        <v>67</v>
      </c>
      <c r="P11" s="49" t="s">
        <v>68</v>
      </c>
    </row>
    <row r="12" spans="1:16" ht="12.75" customHeight="1" thickBot="1" x14ac:dyDescent="0.25">
      <c r="A12" s="14" t="str">
        <f t="shared" si="0"/>
        <v>BAVM 152 </v>
      </c>
      <c r="B12" s="5" t="str">
        <f t="shared" si="1"/>
        <v>I</v>
      </c>
      <c r="C12" s="14">
        <f t="shared" si="2"/>
        <v>51901.289100000002</v>
      </c>
      <c r="D12" s="15" t="str">
        <f t="shared" si="3"/>
        <v>vis</v>
      </c>
      <c r="E12" s="45">
        <f>VLOOKUP(C12,Active!C$21:E$973,3,FALSE)</f>
        <v>18977.009312965503</v>
      </c>
      <c r="F12" s="5" t="s">
        <v>60</v>
      </c>
      <c r="G12" s="15" t="str">
        <f t="shared" si="4"/>
        <v>51901.2891</v>
      </c>
      <c r="H12" s="14">
        <f t="shared" si="5"/>
        <v>18977</v>
      </c>
      <c r="I12" s="46" t="s">
        <v>69</v>
      </c>
      <c r="J12" s="47" t="s">
        <v>70</v>
      </c>
      <c r="K12" s="46">
        <v>18977</v>
      </c>
      <c r="L12" s="46" t="s">
        <v>71</v>
      </c>
      <c r="M12" s="47" t="s">
        <v>65</v>
      </c>
      <c r="N12" s="47" t="s">
        <v>66</v>
      </c>
      <c r="O12" s="48" t="s">
        <v>67</v>
      </c>
      <c r="P12" s="49" t="s">
        <v>68</v>
      </c>
    </row>
    <row r="13" spans="1:16" ht="12.75" customHeight="1" thickBot="1" x14ac:dyDescent="0.25">
      <c r="A13" s="14" t="str">
        <f t="shared" si="0"/>
        <v>BAVM 152 </v>
      </c>
      <c r="B13" s="5" t="str">
        <f t="shared" si="1"/>
        <v>I</v>
      </c>
      <c r="C13" s="14">
        <f t="shared" si="2"/>
        <v>52083.469400000002</v>
      </c>
      <c r="D13" s="15" t="str">
        <f t="shared" si="3"/>
        <v>vis</v>
      </c>
      <c r="E13" s="45">
        <f>VLOOKUP(C13,Active!C$21:E$973,3,FALSE)</f>
        <v>19165.006703419902</v>
      </c>
      <c r="F13" s="5" t="s">
        <v>60</v>
      </c>
      <c r="G13" s="15" t="str">
        <f t="shared" si="4"/>
        <v>52083.4694</v>
      </c>
      <c r="H13" s="14">
        <f t="shared" si="5"/>
        <v>19165</v>
      </c>
      <c r="I13" s="46" t="s">
        <v>72</v>
      </c>
      <c r="J13" s="47" t="s">
        <v>73</v>
      </c>
      <c r="K13" s="46">
        <v>19165</v>
      </c>
      <c r="L13" s="46" t="s">
        <v>74</v>
      </c>
      <c r="M13" s="47" t="s">
        <v>65</v>
      </c>
      <c r="N13" s="47" t="s">
        <v>66</v>
      </c>
      <c r="O13" s="48" t="s">
        <v>67</v>
      </c>
      <c r="P13" s="49" t="s">
        <v>68</v>
      </c>
    </row>
    <row r="14" spans="1:16" ht="12.75" customHeight="1" thickBot="1" x14ac:dyDescent="0.25">
      <c r="A14" s="14" t="str">
        <f t="shared" si="0"/>
        <v>BAVM 152 </v>
      </c>
      <c r="B14" s="5" t="str">
        <f t="shared" si="1"/>
        <v>I</v>
      </c>
      <c r="C14" s="14">
        <f t="shared" si="2"/>
        <v>52084.440399999999</v>
      </c>
      <c r="D14" s="15" t="str">
        <f t="shared" si="3"/>
        <v>vis</v>
      </c>
      <c r="E14" s="45">
        <f>VLOOKUP(C14,Active!C$21:E$973,3,FALSE)</f>
        <v>19166.008707841513</v>
      </c>
      <c r="F14" s="5" t="s">
        <v>60</v>
      </c>
      <c r="G14" s="15" t="str">
        <f t="shared" si="4"/>
        <v>52084.4404</v>
      </c>
      <c r="H14" s="14">
        <f t="shared" si="5"/>
        <v>19166</v>
      </c>
      <c r="I14" s="46" t="s">
        <v>75</v>
      </c>
      <c r="J14" s="47" t="s">
        <v>76</v>
      </c>
      <c r="K14" s="46">
        <v>19166</v>
      </c>
      <c r="L14" s="46" t="s">
        <v>77</v>
      </c>
      <c r="M14" s="47" t="s">
        <v>65</v>
      </c>
      <c r="N14" s="47" t="s">
        <v>66</v>
      </c>
      <c r="O14" s="48" t="s">
        <v>67</v>
      </c>
      <c r="P14" s="49" t="s">
        <v>68</v>
      </c>
    </row>
    <row r="15" spans="1:16" ht="12.75" customHeight="1" thickBot="1" x14ac:dyDescent="0.25">
      <c r="A15" s="14" t="str">
        <f t="shared" si="0"/>
        <v>BAVM 152 </v>
      </c>
      <c r="B15" s="5" t="str">
        <f t="shared" si="1"/>
        <v>I</v>
      </c>
      <c r="C15" s="14">
        <f t="shared" si="2"/>
        <v>52113.512699999999</v>
      </c>
      <c r="D15" s="15" t="str">
        <f t="shared" si="3"/>
        <v>vis</v>
      </c>
      <c r="E15" s="45">
        <f>VLOOKUP(C15,Active!C$21:E$973,3,FALSE)</f>
        <v>19196.009298105702</v>
      </c>
      <c r="F15" s="5" t="s">
        <v>60</v>
      </c>
      <c r="G15" s="15" t="str">
        <f t="shared" si="4"/>
        <v>52113.5127</v>
      </c>
      <c r="H15" s="14">
        <f t="shared" si="5"/>
        <v>19196</v>
      </c>
      <c r="I15" s="46" t="s">
        <v>78</v>
      </c>
      <c r="J15" s="47" t="s">
        <v>79</v>
      </c>
      <c r="K15" s="46">
        <v>19196</v>
      </c>
      <c r="L15" s="46" t="s">
        <v>71</v>
      </c>
      <c r="M15" s="47" t="s">
        <v>65</v>
      </c>
      <c r="N15" s="47" t="s">
        <v>66</v>
      </c>
      <c r="O15" s="48" t="s">
        <v>67</v>
      </c>
      <c r="P15" s="49" t="s">
        <v>68</v>
      </c>
    </row>
    <row r="16" spans="1:16" ht="12.75" customHeight="1" thickBot="1" x14ac:dyDescent="0.25">
      <c r="A16" s="14" t="str">
        <f t="shared" si="0"/>
        <v>BAVM 158 </v>
      </c>
      <c r="B16" s="5" t="str">
        <f t="shared" si="1"/>
        <v>I</v>
      </c>
      <c r="C16" s="14">
        <f t="shared" si="2"/>
        <v>52621.300199999998</v>
      </c>
      <c r="D16" s="15" t="str">
        <f t="shared" si="3"/>
        <v>vis</v>
      </c>
      <c r="E16" s="45">
        <f>VLOOKUP(C16,Active!C$21:E$973,3,FALSE)</f>
        <v>19720.010657777202</v>
      </c>
      <c r="F16" s="5" t="s">
        <v>60</v>
      </c>
      <c r="G16" s="15" t="str">
        <f t="shared" si="4"/>
        <v>52621.3002</v>
      </c>
      <c r="H16" s="14">
        <f t="shared" si="5"/>
        <v>19720</v>
      </c>
      <c r="I16" s="46" t="s">
        <v>80</v>
      </c>
      <c r="J16" s="47" t="s">
        <v>81</v>
      </c>
      <c r="K16" s="46">
        <v>19720</v>
      </c>
      <c r="L16" s="46" t="s">
        <v>82</v>
      </c>
      <c r="M16" s="47" t="s">
        <v>65</v>
      </c>
      <c r="N16" s="47" t="s">
        <v>83</v>
      </c>
      <c r="O16" s="48" t="s">
        <v>67</v>
      </c>
      <c r="P16" s="49" t="s">
        <v>84</v>
      </c>
    </row>
    <row r="17" spans="1:16" ht="12.75" customHeight="1" thickBot="1" x14ac:dyDescent="0.25">
      <c r="A17" s="14" t="str">
        <f t="shared" si="0"/>
        <v>BAVM 173 </v>
      </c>
      <c r="B17" s="5" t="str">
        <f t="shared" si="1"/>
        <v>I</v>
      </c>
      <c r="C17" s="14">
        <f t="shared" si="2"/>
        <v>53242.465499999998</v>
      </c>
      <c r="D17" s="15" t="str">
        <f t="shared" si="3"/>
        <v>vis</v>
      </c>
      <c r="E17" s="45">
        <f>VLOOKUP(C17,Active!C$21:E$973,3,FALSE)</f>
        <v>20361.010016329263</v>
      </c>
      <c r="F17" s="5" t="s">
        <v>60</v>
      </c>
      <c r="G17" s="15" t="str">
        <f t="shared" si="4"/>
        <v>53242.4655</v>
      </c>
      <c r="H17" s="14">
        <f t="shared" si="5"/>
        <v>20361</v>
      </c>
      <c r="I17" s="46" t="s">
        <v>85</v>
      </c>
      <c r="J17" s="47" t="s">
        <v>86</v>
      </c>
      <c r="K17" s="46" t="s">
        <v>87</v>
      </c>
      <c r="L17" s="46" t="s">
        <v>64</v>
      </c>
      <c r="M17" s="47" t="s">
        <v>65</v>
      </c>
      <c r="N17" s="47" t="s">
        <v>83</v>
      </c>
      <c r="O17" s="48" t="s">
        <v>67</v>
      </c>
      <c r="P17" s="49" t="s">
        <v>88</v>
      </c>
    </row>
    <row r="18" spans="1:16" ht="12.75" customHeight="1" thickBot="1" x14ac:dyDescent="0.25">
      <c r="A18" s="14" t="str">
        <f t="shared" si="0"/>
        <v>BAVM 178 </v>
      </c>
      <c r="B18" s="5" t="str">
        <f t="shared" si="1"/>
        <v>I</v>
      </c>
      <c r="C18" s="14">
        <f t="shared" si="2"/>
        <v>53614.580399999999</v>
      </c>
      <c r="D18" s="15" t="str">
        <f t="shared" si="3"/>
        <v>vis</v>
      </c>
      <c r="E18" s="45">
        <f>VLOOKUP(C18,Active!C$21:E$973,3,FALSE)</f>
        <v>20745.006695164455</v>
      </c>
      <c r="F18" s="5" t="s">
        <v>60</v>
      </c>
      <c r="G18" s="15" t="str">
        <f t="shared" si="4"/>
        <v>53614.5804</v>
      </c>
      <c r="H18" s="14">
        <f t="shared" si="5"/>
        <v>20745</v>
      </c>
      <c r="I18" s="46" t="s">
        <v>89</v>
      </c>
      <c r="J18" s="47" t="s">
        <v>90</v>
      </c>
      <c r="K18" s="46" t="s">
        <v>91</v>
      </c>
      <c r="L18" s="46" t="s">
        <v>74</v>
      </c>
      <c r="M18" s="47" t="s">
        <v>92</v>
      </c>
      <c r="N18" s="47" t="s">
        <v>83</v>
      </c>
      <c r="O18" s="48" t="s">
        <v>93</v>
      </c>
      <c r="P18" s="49" t="s">
        <v>94</v>
      </c>
    </row>
    <row r="19" spans="1:16" ht="12.75" customHeight="1" thickBot="1" x14ac:dyDescent="0.25">
      <c r="A19" s="14" t="str">
        <f t="shared" si="0"/>
        <v>BAVM 178 </v>
      </c>
      <c r="B19" s="5" t="str">
        <f t="shared" si="1"/>
        <v>I</v>
      </c>
      <c r="C19" s="14">
        <f t="shared" si="2"/>
        <v>53653.344400000002</v>
      </c>
      <c r="D19" s="15" t="str">
        <f t="shared" si="3"/>
        <v>vis</v>
      </c>
      <c r="E19" s="45">
        <f>VLOOKUP(C19,Active!C$21:E$973,3,FALSE)</f>
        <v>20785.008445318421</v>
      </c>
      <c r="F19" s="5" t="s">
        <v>60</v>
      </c>
      <c r="G19" s="15" t="str">
        <f t="shared" si="4"/>
        <v>53653.3444</v>
      </c>
      <c r="H19" s="14">
        <f t="shared" si="5"/>
        <v>20785</v>
      </c>
      <c r="I19" s="46" t="s">
        <v>95</v>
      </c>
      <c r="J19" s="47" t="s">
        <v>96</v>
      </c>
      <c r="K19" s="46" t="s">
        <v>97</v>
      </c>
      <c r="L19" s="46" t="s">
        <v>98</v>
      </c>
      <c r="M19" s="47" t="s">
        <v>92</v>
      </c>
      <c r="N19" s="47" t="s">
        <v>83</v>
      </c>
      <c r="O19" s="48" t="s">
        <v>93</v>
      </c>
      <c r="P19" s="49" t="s">
        <v>94</v>
      </c>
    </row>
    <row r="20" spans="1:16" ht="12.75" customHeight="1" thickBot="1" x14ac:dyDescent="0.25">
      <c r="A20" s="14" t="str">
        <f t="shared" si="0"/>
        <v>BAVM 178 </v>
      </c>
      <c r="B20" s="5" t="str">
        <f t="shared" si="1"/>
        <v>I</v>
      </c>
      <c r="C20" s="14">
        <f t="shared" si="2"/>
        <v>53932.436699999998</v>
      </c>
      <c r="D20" s="15" t="str">
        <f t="shared" si="3"/>
        <v>vis</v>
      </c>
      <c r="E20" s="45">
        <f>VLOOKUP(C20,Active!C$21:E$973,3,FALSE)</f>
        <v>21073.012275018529</v>
      </c>
      <c r="F20" s="5" t="s">
        <v>60</v>
      </c>
      <c r="G20" s="15" t="str">
        <f t="shared" si="4"/>
        <v>53932.4367</v>
      </c>
      <c r="H20" s="14">
        <f t="shared" si="5"/>
        <v>21073</v>
      </c>
      <c r="I20" s="46" t="s">
        <v>99</v>
      </c>
      <c r="J20" s="47" t="s">
        <v>100</v>
      </c>
      <c r="K20" s="46" t="s">
        <v>101</v>
      </c>
      <c r="L20" s="46" t="s">
        <v>102</v>
      </c>
      <c r="M20" s="47" t="s">
        <v>92</v>
      </c>
      <c r="N20" s="47" t="s">
        <v>83</v>
      </c>
      <c r="O20" s="48" t="s">
        <v>93</v>
      </c>
      <c r="P20" s="49" t="s">
        <v>94</v>
      </c>
    </row>
    <row r="21" spans="1:16" ht="12.75" customHeight="1" thickBot="1" x14ac:dyDescent="0.25">
      <c r="A21" s="14" t="str">
        <f t="shared" si="0"/>
        <v>BAVM 183 </v>
      </c>
      <c r="B21" s="5" t="str">
        <f t="shared" si="1"/>
        <v>I</v>
      </c>
      <c r="C21" s="14">
        <f t="shared" si="2"/>
        <v>54031.278700000003</v>
      </c>
      <c r="D21" s="15" t="str">
        <f t="shared" si="3"/>
        <v>vis</v>
      </c>
      <c r="E21" s="45">
        <f>VLOOKUP(C21,Active!C$21:E$973,3,FALSE)</f>
        <v>21175.010339942644</v>
      </c>
      <c r="F21" s="5" t="s">
        <v>60</v>
      </c>
      <c r="G21" s="15" t="str">
        <f t="shared" si="4"/>
        <v>54031.2787</v>
      </c>
      <c r="H21" s="14">
        <f t="shared" si="5"/>
        <v>21175</v>
      </c>
      <c r="I21" s="46" t="s">
        <v>103</v>
      </c>
      <c r="J21" s="47" t="s">
        <v>104</v>
      </c>
      <c r="K21" s="46" t="s">
        <v>105</v>
      </c>
      <c r="L21" s="46" t="s">
        <v>106</v>
      </c>
      <c r="M21" s="47" t="s">
        <v>92</v>
      </c>
      <c r="N21" s="47" t="s">
        <v>83</v>
      </c>
      <c r="O21" s="48" t="s">
        <v>107</v>
      </c>
      <c r="P21" s="49" t="s">
        <v>108</v>
      </c>
    </row>
    <row r="22" spans="1:16" ht="12.75" customHeight="1" thickBot="1" x14ac:dyDescent="0.25">
      <c r="A22" s="14" t="str">
        <f t="shared" si="0"/>
        <v>BAVM 215 </v>
      </c>
      <c r="B22" s="5" t="str">
        <f t="shared" si="1"/>
        <v>I</v>
      </c>
      <c r="C22" s="14">
        <f t="shared" si="2"/>
        <v>54718.339899999999</v>
      </c>
      <c r="D22" s="15" t="str">
        <f t="shared" si="3"/>
        <v>vis</v>
      </c>
      <c r="E22" s="45">
        <f>VLOOKUP(C22,Active!C$21:E$973,3,FALSE)</f>
        <v>21884.00968115827</v>
      </c>
      <c r="F22" s="5" t="s">
        <v>60</v>
      </c>
      <c r="G22" s="15" t="str">
        <f t="shared" si="4"/>
        <v>54718.3399</v>
      </c>
      <c r="H22" s="14">
        <f t="shared" si="5"/>
        <v>21884</v>
      </c>
      <c r="I22" s="46" t="s">
        <v>109</v>
      </c>
      <c r="J22" s="47" t="s">
        <v>110</v>
      </c>
      <c r="K22" s="46" t="s">
        <v>111</v>
      </c>
      <c r="L22" s="46" t="s">
        <v>112</v>
      </c>
      <c r="M22" s="47" t="s">
        <v>92</v>
      </c>
      <c r="N22" s="47" t="s">
        <v>83</v>
      </c>
      <c r="O22" s="48" t="s">
        <v>67</v>
      </c>
      <c r="P22" s="49" t="s">
        <v>113</v>
      </c>
    </row>
    <row r="23" spans="1:16" ht="12.75" customHeight="1" thickBot="1" x14ac:dyDescent="0.25">
      <c r="A23" s="14" t="str">
        <f t="shared" si="0"/>
        <v>IBVS 5920 </v>
      </c>
      <c r="B23" s="5" t="str">
        <f t="shared" si="1"/>
        <v>I</v>
      </c>
      <c r="C23" s="14">
        <f t="shared" si="2"/>
        <v>55114.689599999998</v>
      </c>
      <c r="D23" s="15" t="str">
        <f t="shared" si="3"/>
        <v>vis</v>
      </c>
      <c r="E23" s="45">
        <f>VLOOKUP(C23,Active!C$21:E$973,3,FALSE)</f>
        <v>22293.01498693163</v>
      </c>
      <c r="F23" s="5" t="s">
        <v>60</v>
      </c>
      <c r="G23" s="15" t="str">
        <f t="shared" si="4"/>
        <v>55114.6896</v>
      </c>
      <c r="H23" s="14">
        <f t="shared" si="5"/>
        <v>22293</v>
      </c>
      <c r="I23" s="46" t="s">
        <v>123</v>
      </c>
      <c r="J23" s="47" t="s">
        <v>124</v>
      </c>
      <c r="K23" s="46" t="s">
        <v>125</v>
      </c>
      <c r="L23" s="46" t="s">
        <v>126</v>
      </c>
      <c r="M23" s="47" t="s">
        <v>92</v>
      </c>
      <c r="N23" s="47" t="s">
        <v>60</v>
      </c>
      <c r="O23" s="48" t="s">
        <v>127</v>
      </c>
      <c r="P23" s="49" t="s">
        <v>128</v>
      </c>
    </row>
    <row r="24" spans="1:16" ht="12.75" customHeight="1" thickBot="1" x14ac:dyDescent="0.25">
      <c r="A24" s="14" t="str">
        <f t="shared" si="0"/>
        <v>BAVM 214 </v>
      </c>
      <c r="B24" s="5" t="str">
        <f t="shared" si="1"/>
        <v>I</v>
      </c>
      <c r="C24" s="14">
        <f t="shared" si="2"/>
        <v>55309.468800000002</v>
      </c>
      <c r="D24" s="15" t="str">
        <f t="shared" si="3"/>
        <v>vis</v>
      </c>
      <c r="E24" s="45">
        <f>VLOOKUP(C24,Active!C$21:E$973,3,FALSE)</f>
        <v>22494.01356534431</v>
      </c>
      <c r="F24" s="5" t="s">
        <v>60</v>
      </c>
      <c r="G24" s="15" t="str">
        <f t="shared" si="4"/>
        <v>55309.4688</v>
      </c>
      <c r="H24" s="14">
        <f t="shared" si="5"/>
        <v>22494</v>
      </c>
      <c r="I24" s="46" t="s">
        <v>129</v>
      </c>
      <c r="J24" s="47" t="s">
        <v>130</v>
      </c>
      <c r="K24" s="46" t="s">
        <v>131</v>
      </c>
      <c r="L24" s="46" t="s">
        <v>132</v>
      </c>
      <c r="M24" s="47" t="s">
        <v>92</v>
      </c>
      <c r="N24" s="47" t="s">
        <v>83</v>
      </c>
      <c r="O24" s="48" t="s">
        <v>67</v>
      </c>
      <c r="P24" s="49" t="s">
        <v>133</v>
      </c>
    </row>
    <row r="25" spans="1:16" ht="12.75" customHeight="1" thickBot="1" x14ac:dyDescent="0.25">
      <c r="A25" s="14" t="str">
        <f t="shared" si="0"/>
        <v>BAVM 215 </v>
      </c>
      <c r="B25" s="5" t="str">
        <f t="shared" si="1"/>
        <v>I</v>
      </c>
      <c r="C25" s="14">
        <f t="shared" si="2"/>
        <v>55463.547700000003</v>
      </c>
      <c r="D25" s="15" t="str">
        <f t="shared" si="3"/>
        <v>vis</v>
      </c>
      <c r="E25" s="45">
        <f>VLOOKUP(C25,Active!C$21:E$973,3,FALSE)</f>
        <v>22653.012266763093</v>
      </c>
      <c r="F25" s="5" t="s">
        <v>60</v>
      </c>
      <c r="G25" s="15" t="str">
        <f t="shared" si="4"/>
        <v>55463.5477</v>
      </c>
      <c r="H25" s="14">
        <f t="shared" si="5"/>
        <v>22653</v>
      </c>
      <c r="I25" s="46" t="s">
        <v>134</v>
      </c>
      <c r="J25" s="47" t="s">
        <v>135</v>
      </c>
      <c r="K25" s="46" t="s">
        <v>136</v>
      </c>
      <c r="L25" s="46" t="s">
        <v>102</v>
      </c>
      <c r="M25" s="47" t="s">
        <v>92</v>
      </c>
      <c r="N25" s="47" t="s">
        <v>83</v>
      </c>
      <c r="O25" s="48" t="s">
        <v>67</v>
      </c>
      <c r="P25" s="49" t="s">
        <v>113</v>
      </c>
    </row>
    <row r="26" spans="1:16" ht="12.75" customHeight="1" thickBot="1" x14ac:dyDescent="0.25">
      <c r="A26" s="14" t="str">
        <f t="shared" si="0"/>
        <v>BAVM 231 </v>
      </c>
      <c r="B26" s="5" t="str">
        <f t="shared" si="1"/>
        <v>I</v>
      </c>
      <c r="C26" s="14">
        <f t="shared" si="2"/>
        <v>56187.435700000002</v>
      </c>
      <c r="D26" s="15" t="str">
        <f t="shared" si="3"/>
        <v>vis</v>
      </c>
      <c r="E26" s="45">
        <f>VLOOKUP(C26,Active!C$21:E$973,3,FALSE)</f>
        <v>23400.014302555392</v>
      </c>
      <c r="F26" s="5" t="s">
        <v>60</v>
      </c>
      <c r="G26" s="15" t="str">
        <f t="shared" si="4"/>
        <v>56187.4357</v>
      </c>
      <c r="H26" s="14">
        <f t="shared" si="5"/>
        <v>23400</v>
      </c>
      <c r="I26" s="46" t="s">
        <v>145</v>
      </c>
      <c r="J26" s="47" t="s">
        <v>146</v>
      </c>
      <c r="K26" s="46" t="s">
        <v>147</v>
      </c>
      <c r="L26" s="46" t="s">
        <v>148</v>
      </c>
      <c r="M26" s="47" t="s">
        <v>92</v>
      </c>
      <c r="N26" s="47" t="s">
        <v>83</v>
      </c>
      <c r="O26" s="48" t="s">
        <v>67</v>
      </c>
      <c r="P26" s="49" t="s">
        <v>149</v>
      </c>
    </row>
    <row r="27" spans="1:16" ht="12.75" customHeight="1" thickBot="1" x14ac:dyDescent="0.25">
      <c r="A27" s="14" t="str">
        <f t="shared" si="0"/>
        <v>BAVM 234 </v>
      </c>
      <c r="B27" s="5" t="str">
        <f t="shared" si="1"/>
        <v>I</v>
      </c>
      <c r="C27" s="14">
        <f t="shared" si="2"/>
        <v>56590.562299999998</v>
      </c>
      <c r="D27" s="15" t="str">
        <f t="shared" si="3"/>
        <v>vis</v>
      </c>
      <c r="E27" s="45">
        <f>VLOOKUP(C27,Active!C$21:E$973,3,FALSE)</f>
        <v>23816.012897478948</v>
      </c>
      <c r="F27" s="5" t="s">
        <v>60</v>
      </c>
      <c r="G27" s="15" t="str">
        <f t="shared" si="4"/>
        <v>56590.5623</v>
      </c>
      <c r="H27" s="14">
        <f t="shared" si="5"/>
        <v>23816</v>
      </c>
      <c r="I27" s="46" t="s">
        <v>150</v>
      </c>
      <c r="J27" s="47" t="s">
        <v>151</v>
      </c>
      <c r="K27" s="46" t="s">
        <v>152</v>
      </c>
      <c r="L27" s="46" t="s">
        <v>153</v>
      </c>
      <c r="M27" s="47" t="s">
        <v>92</v>
      </c>
      <c r="N27" s="47" t="s">
        <v>83</v>
      </c>
      <c r="O27" s="48" t="s">
        <v>67</v>
      </c>
      <c r="P27" s="49" t="s">
        <v>154</v>
      </c>
    </row>
    <row r="28" spans="1:16" ht="12.75" customHeight="1" thickBot="1" x14ac:dyDescent="0.25">
      <c r="A28" s="14" t="str">
        <f t="shared" si="0"/>
        <v>BAVM 234 </v>
      </c>
      <c r="B28" s="5" t="str">
        <f t="shared" si="1"/>
        <v>I</v>
      </c>
      <c r="C28" s="14">
        <f t="shared" si="2"/>
        <v>56592.501300000004</v>
      </c>
      <c r="D28" s="15" t="str">
        <f t="shared" si="3"/>
        <v>vis</v>
      </c>
      <c r="E28" s="45">
        <f>VLOOKUP(C28,Active!C$21:E$973,3,FALSE)</f>
        <v>23818.013810530974</v>
      </c>
      <c r="F28" s="5" t="s">
        <v>60</v>
      </c>
      <c r="G28" s="15" t="str">
        <f t="shared" si="4"/>
        <v>56592.5013</v>
      </c>
      <c r="H28" s="14">
        <f t="shared" si="5"/>
        <v>23818</v>
      </c>
      <c r="I28" s="46" t="s">
        <v>155</v>
      </c>
      <c r="J28" s="47" t="s">
        <v>156</v>
      </c>
      <c r="K28" s="46" t="s">
        <v>157</v>
      </c>
      <c r="L28" s="46" t="s">
        <v>122</v>
      </c>
      <c r="M28" s="47" t="s">
        <v>92</v>
      </c>
      <c r="N28" s="47" t="s">
        <v>83</v>
      </c>
      <c r="O28" s="48" t="s">
        <v>67</v>
      </c>
      <c r="P28" s="49" t="s">
        <v>154</v>
      </c>
    </row>
    <row r="29" spans="1:16" ht="12.75" customHeight="1" thickBot="1" x14ac:dyDescent="0.25">
      <c r="A29" s="14" t="str">
        <f t="shared" si="0"/>
        <v>BAVM 234 </v>
      </c>
      <c r="B29" s="5" t="str">
        <f t="shared" si="1"/>
        <v>I</v>
      </c>
      <c r="C29" s="14">
        <f t="shared" si="2"/>
        <v>56600.253900000003</v>
      </c>
      <c r="D29" s="15" t="str">
        <f t="shared" si="3"/>
        <v>vis</v>
      </c>
      <c r="E29" s="45">
        <f>VLOOKUP(C29,Active!C$21:E$973,3,FALSE)</f>
        <v>23826.013954175687</v>
      </c>
      <c r="F29" s="5" t="s">
        <v>60</v>
      </c>
      <c r="G29" s="15" t="str">
        <f t="shared" si="4"/>
        <v>56600.2539</v>
      </c>
      <c r="H29" s="14">
        <f t="shared" si="5"/>
        <v>23826</v>
      </c>
      <c r="I29" s="46" t="s">
        <v>158</v>
      </c>
      <c r="J29" s="47" t="s">
        <v>159</v>
      </c>
      <c r="K29" s="46" t="s">
        <v>160</v>
      </c>
      <c r="L29" s="46" t="s">
        <v>161</v>
      </c>
      <c r="M29" s="47" t="s">
        <v>92</v>
      </c>
      <c r="N29" s="47" t="s">
        <v>83</v>
      </c>
      <c r="O29" s="48" t="s">
        <v>67</v>
      </c>
      <c r="P29" s="49" t="s">
        <v>154</v>
      </c>
    </row>
    <row r="30" spans="1:16" ht="12.75" customHeight="1" thickBot="1" x14ac:dyDescent="0.25">
      <c r="A30" s="14" t="str">
        <f t="shared" si="0"/>
        <v>BAVM 239 </v>
      </c>
      <c r="B30" s="5" t="str">
        <f t="shared" si="1"/>
        <v>I</v>
      </c>
      <c r="C30" s="14">
        <f t="shared" si="2"/>
        <v>56934.5795</v>
      </c>
      <c r="D30" s="15" t="str">
        <f t="shared" si="3"/>
        <v>vis</v>
      </c>
      <c r="E30" s="45">
        <f>VLOOKUP(C30,Active!C$21:E$973,3,FALSE)</f>
        <v>24171.014705421017</v>
      </c>
      <c r="F30" s="5" t="s">
        <v>60</v>
      </c>
      <c r="G30" s="15" t="str">
        <f t="shared" si="4"/>
        <v>56934.5795</v>
      </c>
      <c r="H30" s="14">
        <f t="shared" si="5"/>
        <v>24171</v>
      </c>
      <c r="I30" s="46" t="s">
        <v>162</v>
      </c>
      <c r="J30" s="47" t="s">
        <v>163</v>
      </c>
      <c r="K30" s="46" t="s">
        <v>164</v>
      </c>
      <c r="L30" s="46" t="s">
        <v>165</v>
      </c>
      <c r="M30" s="47" t="s">
        <v>92</v>
      </c>
      <c r="N30" s="47" t="s">
        <v>83</v>
      </c>
      <c r="O30" s="48" t="s">
        <v>67</v>
      </c>
      <c r="P30" s="49" t="s">
        <v>166</v>
      </c>
    </row>
    <row r="31" spans="1:16" ht="12.75" customHeight="1" thickBot="1" x14ac:dyDescent="0.25">
      <c r="A31" s="14" t="str">
        <f t="shared" si="0"/>
        <v>BAVM 212 </v>
      </c>
      <c r="B31" s="5" t="str">
        <f t="shared" si="1"/>
        <v>I</v>
      </c>
      <c r="C31" s="14">
        <f t="shared" si="2"/>
        <v>55058.483</v>
      </c>
      <c r="D31" s="15" t="str">
        <f t="shared" si="3"/>
        <v>vis</v>
      </c>
      <c r="E31" s="45">
        <f>VLOOKUP(C31,Active!C$21:E$973,3,FALSE)</f>
        <v>22235.013687524868</v>
      </c>
      <c r="F31" s="5" t="s">
        <v>60</v>
      </c>
      <c r="G31" s="15" t="str">
        <f t="shared" si="4"/>
        <v>55058.4830</v>
      </c>
      <c r="H31" s="14">
        <f t="shared" si="5"/>
        <v>22235</v>
      </c>
      <c r="I31" s="46" t="s">
        <v>114</v>
      </c>
      <c r="J31" s="47" t="s">
        <v>115</v>
      </c>
      <c r="K31" s="46" t="s">
        <v>116</v>
      </c>
      <c r="L31" s="46" t="s">
        <v>117</v>
      </c>
      <c r="M31" s="47" t="s">
        <v>92</v>
      </c>
      <c r="N31" s="47" t="s">
        <v>83</v>
      </c>
      <c r="O31" s="48" t="s">
        <v>67</v>
      </c>
      <c r="P31" s="49" t="s">
        <v>118</v>
      </c>
    </row>
    <row r="32" spans="1:16" ht="12.75" customHeight="1" thickBot="1" x14ac:dyDescent="0.25">
      <c r="A32" s="14" t="str">
        <f t="shared" si="0"/>
        <v>BAVM 212 </v>
      </c>
      <c r="B32" s="5" t="str">
        <f t="shared" si="1"/>
        <v>I</v>
      </c>
      <c r="C32" s="14">
        <f t="shared" si="2"/>
        <v>55062.359400000001</v>
      </c>
      <c r="D32" s="15" t="str">
        <f t="shared" si="3"/>
        <v>vis</v>
      </c>
      <c r="E32" s="45">
        <f>VLOOKUP(C32,Active!C$21:E$973,3,FALSE)</f>
        <v>22239.013862540265</v>
      </c>
      <c r="F32" s="5" t="s">
        <v>60</v>
      </c>
      <c r="G32" s="15" t="str">
        <f t="shared" si="4"/>
        <v>55062.3594</v>
      </c>
      <c r="H32" s="14">
        <f t="shared" si="5"/>
        <v>22239</v>
      </c>
      <c r="I32" s="46" t="s">
        <v>119</v>
      </c>
      <c r="J32" s="47" t="s">
        <v>120</v>
      </c>
      <c r="K32" s="46" t="s">
        <v>121</v>
      </c>
      <c r="L32" s="46" t="s">
        <v>122</v>
      </c>
      <c r="M32" s="47" t="s">
        <v>92</v>
      </c>
      <c r="N32" s="47" t="s">
        <v>83</v>
      </c>
      <c r="O32" s="48" t="s">
        <v>67</v>
      </c>
      <c r="P32" s="49" t="s">
        <v>118</v>
      </c>
    </row>
    <row r="33" spans="1:16" ht="12.75" customHeight="1" thickBot="1" x14ac:dyDescent="0.25">
      <c r="A33" s="14" t="str">
        <f t="shared" si="0"/>
        <v>BAVM 225 </v>
      </c>
      <c r="B33" s="5" t="str">
        <f t="shared" si="1"/>
        <v>I</v>
      </c>
      <c r="C33" s="14">
        <f t="shared" si="2"/>
        <v>55839.543299999998</v>
      </c>
      <c r="D33" s="15" t="str">
        <f t="shared" si="3"/>
        <v>vis</v>
      </c>
      <c r="E33" s="45">
        <f>VLOOKUP(C33,Active!C$21:E$973,3,FALSE)</f>
        <v>23041.013557914408</v>
      </c>
      <c r="F33" s="5" t="s">
        <v>60</v>
      </c>
      <c r="G33" s="15" t="str">
        <f t="shared" si="4"/>
        <v>55839.5433</v>
      </c>
      <c r="H33" s="14">
        <f t="shared" si="5"/>
        <v>23041</v>
      </c>
      <c r="I33" s="46" t="s">
        <v>137</v>
      </c>
      <c r="J33" s="47" t="s">
        <v>138</v>
      </c>
      <c r="K33" s="46" t="s">
        <v>139</v>
      </c>
      <c r="L33" s="46" t="s">
        <v>132</v>
      </c>
      <c r="M33" s="47" t="s">
        <v>92</v>
      </c>
      <c r="N33" s="47" t="s">
        <v>83</v>
      </c>
      <c r="O33" s="48" t="s">
        <v>67</v>
      </c>
      <c r="P33" s="49" t="s">
        <v>140</v>
      </c>
    </row>
    <row r="34" spans="1:16" ht="12.75" customHeight="1" thickBot="1" x14ac:dyDescent="0.25">
      <c r="A34" s="14" t="str">
        <f t="shared" si="0"/>
        <v>BAVM 225 </v>
      </c>
      <c r="B34" s="5" t="str">
        <f t="shared" si="1"/>
        <v>I</v>
      </c>
      <c r="C34" s="14">
        <f t="shared" si="2"/>
        <v>55873.463799999998</v>
      </c>
      <c r="D34" s="15" t="str">
        <f t="shared" si="3"/>
        <v>vis</v>
      </c>
      <c r="E34" s="45">
        <f>VLOOKUP(C34,Active!C$21:E$973,3,FALSE)</f>
        <v>23076.017153159934</v>
      </c>
      <c r="F34" s="5" t="s">
        <v>60</v>
      </c>
      <c r="G34" s="15" t="str">
        <f t="shared" si="4"/>
        <v>55873.4638</v>
      </c>
      <c r="H34" s="14">
        <f t="shared" si="5"/>
        <v>23076</v>
      </c>
      <c r="I34" s="46" t="s">
        <v>141</v>
      </c>
      <c r="J34" s="47" t="s">
        <v>142</v>
      </c>
      <c r="K34" s="46" t="s">
        <v>143</v>
      </c>
      <c r="L34" s="46" t="s">
        <v>144</v>
      </c>
      <c r="M34" s="47" t="s">
        <v>92</v>
      </c>
      <c r="N34" s="47" t="s">
        <v>83</v>
      </c>
      <c r="O34" s="48" t="s">
        <v>67</v>
      </c>
      <c r="P34" s="49" t="s">
        <v>140</v>
      </c>
    </row>
    <row r="35" spans="1:16" x14ac:dyDescent="0.2">
      <c r="B35" s="5"/>
      <c r="E35" s="45"/>
      <c r="F35" s="5"/>
    </row>
    <row r="36" spans="1:16" x14ac:dyDescent="0.2">
      <c r="B36" s="5"/>
      <c r="F36" s="5"/>
    </row>
    <row r="37" spans="1:16" x14ac:dyDescent="0.2">
      <c r="B37" s="5"/>
      <c r="F37" s="5"/>
    </row>
    <row r="38" spans="1:16" x14ac:dyDescent="0.2">
      <c r="B38" s="5"/>
      <c r="F38" s="5"/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</sheetData>
  <phoneticPr fontId="7" type="noConversion"/>
  <hyperlinks>
    <hyperlink ref="P11" r:id="rId1" display="http://www.bav-astro.de/sfs/BAVM_link.php?BAVMnr=152"/>
    <hyperlink ref="P12" r:id="rId2" display="http://www.bav-astro.de/sfs/BAVM_link.php?BAVMnr=152"/>
    <hyperlink ref="P13" r:id="rId3" display="http://www.bav-astro.de/sfs/BAVM_link.php?BAVMnr=152"/>
    <hyperlink ref="P14" r:id="rId4" display="http://www.bav-astro.de/sfs/BAVM_link.php?BAVMnr=152"/>
    <hyperlink ref="P15" r:id="rId5" display="http://www.bav-astro.de/sfs/BAVM_link.php?BAVMnr=152"/>
    <hyperlink ref="P16" r:id="rId6" display="http://www.bav-astro.de/sfs/BAVM_link.php?BAVMnr=158"/>
    <hyperlink ref="P17" r:id="rId7" display="http://www.bav-astro.de/sfs/BAVM_link.php?BAVMnr=173"/>
    <hyperlink ref="P18" r:id="rId8" display="http://www.bav-astro.de/sfs/BAVM_link.php?BAVMnr=178"/>
    <hyperlink ref="P19" r:id="rId9" display="http://www.bav-astro.de/sfs/BAVM_link.php?BAVMnr=178"/>
    <hyperlink ref="P20" r:id="rId10" display="http://www.bav-astro.de/sfs/BAVM_link.php?BAVMnr=178"/>
    <hyperlink ref="P21" r:id="rId11" display="http://www.bav-astro.de/sfs/BAVM_link.php?BAVMnr=183"/>
    <hyperlink ref="P22" r:id="rId12" display="http://www.bav-astro.de/sfs/BAVM_link.php?BAVMnr=215"/>
    <hyperlink ref="P31" r:id="rId13" display="http://www.bav-astro.de/sfs/BAVM_link.php?BAVMnr=212"/>
    <hyperlink ref="P32" r:id="rId14" display="http://www.bav-astro.de/sfs/BAVM_link.php?BAVMnr=212"/>
    <hyperlink ref="P23" r:id="rId15" display="http://www.konkoly.hu/cgi-bin/IBVS?5920"/>
    <hyperlink ref="P24" r:id="rId16" display="http://www.bav-astro.de/sfs/BAVM_link.php?BAVMnr=214"/>
    <hyperlink ref="P25" r:id="rId17" display="http://www.bav-astro.de/sfs/BAVM_link.php?BAVMnr=215"/>
    <hyperlink ref="P33" r:id="rId18" display="http://www.bav-astro.de/sfs/BAVM_link.php?BAVMnr=225"/>
    <hyperlink ref="P34" r:id="rId19" display="http://www.bav-astro.de/sfs/BAVM_link.php?BAVMnr=225"/>
    <hyperlink ref="P26" r:id="rId20" display="http://www.bav-astro.de/sfs/BAVM_link.php?BAVMnr=231"/>
    <hyperlink ref="P27" r:id="rId21" display="http://www.bav-astro.de/sfs/BAVM_link.php?BAVMnr=234"/>
    <hyperlink ref="P28" r:id="rId22" display="http://www.bav-astro.de/sfs/BAVM_link.php?BAVMnr=234"/>
    <hyperlink ref="P29" r:id="rId23" display="http://www.bav-astro.de/sfs/BAVM_link.php?BAVMnr=234"/>
    <hyperlink ref="P30" r:id="rId24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2024-02-17T02:45:51Z</dcterms:modified>
</cp:coreProperties>
</file>