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E14F2E-27E5-457A-BFE9-B837FF6FD5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0" i="1" l="1"/>
  <c r="E24" i="1"/>
  <c r="F24" i="1"/>
  <c r="E32" i="1"/>
  <c r="F32" i="1"/>
  <c r="D9" i="1"/>
  <c r="C9" i="1"/>
  <c r="Q33" i="1"/>
  <c r="G24" i="2"/>
  <c r="C24" i="2"/>
  <c r="G23" i="2"/>
  <c r="C23" i="2"/>
  <c r="G22" i="2"/>
  <c r="C22" i="2"/>
  <c r="G21" i="2"/>
  <c r="C21" i="2"/>
  <c r="G25" i="2"/>
  <c r="C25" i="2"/>
  <c r="G20" i="2"/>
  <c r="C20" i="2"/>
  <c r="E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E12" i="2"/>
  <c r="G11" i="2"/>
  <c r="C11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5" i="2"/>
  <c r="D25" i="2"/>
  <c r="B25" i="2"/>
  <c r="A25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39" i="1"/>
  <c r="Q38" i="1"/>
  <c r="Q37" i="1"/>
  <c r="Q28" i="1"/>
  <c r="Q29" i="1"/>
  <c r="Q30" i="1"/>
  <c r="Q31" i="1"/>
  <c r="Q36" i="1"/>
  <c r="F16" i="1"/>
  <c r="C17" i="1"/>
  <c r="Q34" i="1"/>
  <c r="Q35" i="1"/>
  <c r="Q25" i="1"/>
  <c r="Q27" i="1"/>
  <c r="Q32" i="1"/>
  <c r="Q23" i="1"/>
  <c r="Q24" i="1"/>
  <c r="Q26" i="1"/>
  <c r="Q22" i="1"/>
  <c r="C8" i="1"/>
  <c r="C7" i="1"/>
  <c r="E27" i="1"/>
  <c r="F27" i="1"/>
  <c r="Q21" i="1"/>
  <c r="E18" i="2"/>
  <c r="E25" i="2"/>
  <c r="E15" i="2"/>
  <c r="E38" i="1"/>
  <c r="F38" i="1"/>
  <c r="G38" i="1"/>
  <c r="K38" i="1"/>
  <c r="E29" i="1"/>
  <c r="F29" i="1"/>
  <c r="G29" i="1"/>
  <c r="K29" i="1"/>
  <c r="E22" i="1"/>
  <c r="F22" i="1"/>
  <c r="E35" i="1"/>
  <c r="F35" i="1"/>
  <c r="G35" i="1"/>
  <c r="K35" i="1"/>
  <c r="G28" i="1"/>
  <c r="J28" i="1"/>
  <c r="E26" i="1"/>
  <c r="F26" i="1"/>
  <c r="G26" i="1"/>
  <c r="K26" i="1"/>
  <c r="G34" i="1"/>
  <c r="K34" i="1"/>
  <c r="E31" i="1"/>
  <c r="F31" i="1"/>
  <c r="G31" i="1"/>
  <c r="K31" i="1"/>
  <c r="E23" i="1"/>
  <c r="F23" i="1"/>
  <c r="G23" i="1"/>
  <c r="U22" i="1"/>
  <c r="E21" i="1"/>
  <c r="F21" i="1"/>
  <c r="E37" i="1"/>
  <c r="F37" i="1"/>
  <c r="G37" i="1"/>
  <c r="K37" i="1"/>
  <c r="G30" i="1"/>
  <c r="K30" i="1"/>
  <c r="E28" i="1"/>
  <c r="F28" i="1"/>
  <c r="E34" i="1"/>
  <c r="F34" i="1"/>
  <c r="G27" i="1"/>
  <c r="J27" i="1"/>
  <c r="E25" i="1"/>
  <c r="F25" i="1"/>
  <c r="G25" i="1"/>
  <c r="J25" i="1"/>
  <c r="E39" i="1"/>
  <c r="F39" i="1"/>
  <c r="G39" i="1"/>
  <c r="K39" i="1"/>
  <c r="G32" i="1"/>
  <c r="K32" i="1"/>
  <c r="E30" i="1"/>
  <c r="F30" i="1"/>
  <c r="G24" i="1"/>
  <c r="K24" i="1"/>
  <c r="E33" i="1"/>
  <c r="F33" i="1"/>
  <c r="G33" i="1"/>
  <c r="I33" i="1"/>
  <c r="E40" i="1"/>
  <c r="F40" i="1"/>
  <c r="G40" i="1"/>
  <c r="K40" i="1"/>
  <c r="G21" i="1"/>
  <c r="J21" i="1"/>
  <c r="E36" i="1"/>
  <c r="F36" i="1"/>
  <c r="G36" i="1"/>
  <c r="K36" i="1"/>
  <c r="K23" i="1"/>
  <c r="E14" i="2"/>
  <c r="E17" i="2"/>
  <c r="E13" i="2"/>
  <c r="E11" i="2"/>
  <c r="E22" i="2"/>
  <c r="E24" i="2"/>
  <c r="E16" i="2"/>
  <c r="E19" i="2"/>
  <c r="E21" i="2"/>
  <c r="E23" i="2"/>
  <c r="C12" i="1"/>
  <c r="C11" i="1"/>
  <c r="O29" i="1" l="1"/>
  <c r="O27" i="1"/>
  <c r="O25" i="1"/>
  <c r="C15" i="1"/>
  <c r="O40" i="1"/>
  <c r="O22" i="1"/>
  <c r="O23" i="1"/>
  <c r="O24" i="1"/>
  <c r="O35" i="1"/>
  <c r="O38" i="1"/>
  <c r="O37" i="1"/>
  <c r="O30" i="1"/>
  <c r="O26" i="1"/>
  <c r="O33" i="1"/>
  <c r="O28" i="1"/>
  <c r="O21" i="1"/>
  <c r="O32" i="1"/>
  <c r="O31" i="1"/>
  <c r="O36" i="1"/>
  <c r="O34" i="1"/>
  <c r="O39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<sst xmlns="http://schemas.openxmlformats.org/spreadsheetml/2006/main" count="217" uniqueCount="130">
  <si>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</si>
  <si>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</si>
  <si>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</si>
  <si>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</si>
  <si>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</si>
  <si>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</si>
  <si>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</si>
  <si>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</si>
  <si>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</si>
  <si>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</si>
  <si>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</si>
  <si>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</si>
  <si>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</si>
  <si>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</si>
  <si>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</si>
  <si>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</si>
  <si>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</si>
  <si>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</si>
  <si>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</si>
  <si>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</si>
  <si>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</si>
  <si>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</si>
  <si>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</si>
  <si>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</si>
  <si>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</si>
  <si>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</si>
  <si>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</si>
  <si>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</si>
  <si>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</si>
  <si>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Bull.35</t>
  </si>
  <si>
    <t>B</t>
  </si>
  <si>
    <t>IBVS 5263</t>
  </si>
  <si>
    <t>I</t>
  </si>
  <si>
    <t>II</t>
  </si>
  <si>
    <t>IBVS 5287</t>
  </si>
  <si>
    <t>EW/KW</t>
  </si>
  <si>
    <t>IBVS 5677</t>
  </si>
  <si>
    <t>LU Lac / ??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</si>
  <si>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</si>
  <si>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</si>
  <si>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</si>
  <si>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</si>
  <si>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</si>
  <si>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</si>
  <si>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</si>
  <si>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5296</t>
  </si>
  <si>
    <t>IBVS 5920</t>
  </si>
  <si>
    <t>Add cycle</t>
  </si>
  <si>
    <t>Old Cycle</t>
  </si>
  <si>
    <t>IBVS 5690</t>
  </si>
  <si>
    <t>IBVS 6011</t>
  </si>
  <si>
    <t>OEJV 0160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</si>
  <si>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</si>
  <si>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</si>
  <si>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</si>
  <si>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</si>
  <si>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</si>
  <si>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</si>
  <si>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</si>
  <si>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</si>
  <si>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</si>
  <si>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</si>
  <si>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</si>
  <si>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</si>
  <si>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2451435.4035 </t>
  </si>
  <si>
    <t> 13.09.1999 21:41 </t>
  </si>
  <si>
    <t> 0.0324 </t>
  </si>
  <si>
    <t>E </t>
  </si>
  <si>
    <t>?</t>
  </si>
  <si>
    <t> M.Zejda </t>
  </si>
  <si>
    <t>IBVS 5263 </t>
  </si>
  <si>
    <t>2451435.5538 </t>
  </si>
  <si>
    <t> 14.09.1999 01:17 </t>
  </si>
  <si>
    <t> 0.0333 </t>
  </si>
  <si>
    <t>2451786.4931 </t>
  </si>
  <si>
    <t> 29.08.2000 23:50 </t>
  </si>
  <si>
    <t> 0.0304 </t>
  </si>
  <si>
    <t>o</t>
  </si>
  <si>
    <t> F.Agerer </t>
  </si>
  <si>
    <t>BAVM 152 </t>
  </si>
  <si>
    <t>2451841.4765 </t>
  </si>
  <si>
    <t> 23.10.2000 23:26 </t>
  </si>
  <si>
    <t> 0.0344 </t>
  </si>
  <si>
    <t>IBVS 5287 </t>
  </si>
  <si>
    <t>2452123.391 </t>
  </si>
  <si>
    <t> 01.08.2001 21:23 </t>
  </si>
  <si>
    <t> 0.030 </t>
  </si>
  <si>
    <t>2452123.5425 </t>
  </si>
  <si>
    <t> 02.08.2001 01:01 </t>
  </si>
  <si>
    <t> 0.0319 </t>
  </si>
  <si>
    <t>2453348.6273 </t>
  </si>
  <si>
    <t> 09.12.2004 03:03 </t>
  </si>
  <si>
    <t> 0.0312 </t>
  </si>
  <si>
    <t> T. Krajci </t>
  </si>
  <si>
    <t>IBVS 5690 </t>
  </si>
  <si>
    <t>2453383.5881 </t>
  </si>
  <si>
    <t> 13.01.2005 02:06 </t>
  </si>
  <si>
    <t> 0.0322 </t>
  </si>
  <si>
    <t>2453384.6334 </t>
  </si>
  <si>
    <t> 14.01.2005 03:12 </t>
  </si>
  <si>
    <t> 0.0317 </t>
  </si>
  <si>
    <t>2453644.7399 </t>
  </si>
  <si>
    <t> 01.10.2005 05:45 </t>
  </si>
  <si>
    <t> 0.0316 </t>
  </si>
  <si>
    <t> S. Dvorak </t>
  </si>
  <si>
    <t>IBVS 5677 </t>
  </si>
  <si>
    <t>2455049.4047 </t>
  </si>
  <si>
    <t> 05.08.2009 21:42 </t>
  </si>
  <si>
    <t> 0.0313 </t>
  </si>
  <si>
    <t>C </t>
  </si>
  <si>
    <t> Moschner &amp; Frank </t>
  </si>
  <si>
    <t>BAVM 212 </t>
  </si>
  <si>
    <t>2455121.564 </t>
  </si>
  <si>
    <t> 17.10.2009 01:32 </t>
  </si>
  <si>
    <t> R.Diethelm </t>
  </si>
  <si>
    <t>IBVS 5920 </t>
  </si>
  <si>
    <t>2455121.7134 </t>
  </si>
  <si>
    <t> 17.10.2009 05:07 </t>
  </si>
  <si>
    <t> 0.0301 </t>
  </si>
  <si>
    <t>2455858.7034 </t>
  </si>
  <si>
    <t> 24.10.2011 04:52 </t>
  </si>
  <si>
    <t> 0.0265 </t>
  </si>
  <si>
    <t>IBVS 6011 </t>
  </si>
  <si>
    <t>2456046.50096 </t>
  </si>
  <si>
    <t> 29.04.2012 00:01 </t>
  </si>
  <si>
    <t> 0.02746 </t>
  </si>
  <si>
    <t> J.Trnka </t>
  </si>
  <si>
    <t>OEJV 0160 </t>
  </si>
  <si>
    <t>BAD?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</si>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</sst>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2" applyNumberFormat="1" applyFont="1" applyAlignment="1">
      <alignment horizontal="left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LU Lac - O-C Diagr.</a:t>
            </a:r>
          </a:p>
        </c:rich>
      </c:tx>
      <c:layout>
        <c:manualLayout>
          <c:xMode val="edge"/>
          <c:yMode val="edge"/>
          <c:x val="0.4033727885181667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286838682057"/>
          <c:y val="0.14769252958613219"/>
          <c:w val="0.8430620276300406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3E-4A7A-A7DD-551127D8AC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2">
                  <c:v>3.1300100003136322E-2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3E-4A7A-A7DD-551127D8AC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0</c:v>
                </c:pt>
                <c:pt idx="4">
                  <c:v>3.044209999643499E-2</c:v>
                </c:pt>
                <c:pt idx="6">
                  <c:v>2.9819975003192667E-2</c:v>
                </c:pt>
                <c:pt idx="7">
                  <c:v>3.1919300003210083E-2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3E-4A7A-A7DD-551127D8AC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3.2428350001282524E-2</c:v>
                </c:pt>
                <c:pt idx="3">
                  <c:v>3.3327675002510659E-2</c:v>
                </c:pt>
                <c:pt idx="5">
                  <c:v>3.4393699999782257E-2</c:v>
                </c:pt>
                <c:pt idx="8">
                  <c:v>3.1184300001768861E-2</c:v>
                </c:pt>
                <c:pt idx="9">
                  <c:v>3.2226350005657878E-2</c:v>
                </c:pt>
                <c:pt idx="10">
                  <c:v>3.1721625004138332E-2</c:v>
                </c:pt>
                <c:pt idx="11">
                  <c:v>3.1646450006519444E-2</c:v>
                </c:pt>
                <c:pt idx="13">
                  <c:v>3.0074074995354749E-2</c:v>
                </c:pt>
                <c:pt idx="14">
                  <c:v>3.0073399997490924E-2</c:v>
                </c:pt>
                <c:pt idx="15">
                  <c:v>2.6543625004705973E-2</c:v>
                </c:pt>
                <c:pt idx="16">
                  <c:v>2.7455149996967521E-2</c:v>
                </c:pt>
                <c:pt idx="17">
                  <c:v>2.3461024997232016E-2</c:v>
                </c:pt>
                <c:pt idx="18">
                  <c:v>2.3920350002299529E-2</c:v>
                </c:pt>
                <c:pt idx="19">
                  <c:v>2.0019550000142772E-2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3E-4A7A-A7DD-551127D8AC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3E-4A7A-A7DD-551127D8AC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3E-4A7A-A7DD-551127D8AC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2.3E-3</c:v>
                  </c:pt>
                  <c:pt idx="3">
                    <c:v>1.9E-3</c:v>
                  </c:pt>
                  <c:pt idx="4">
                    <c:v>1.9E-3</c:v>
                  </c:pt>
                  <c:pt idx="5">
                    <c:v>6.3E-3</c:v>
                  </c:pt>
                  <c:pt idx="6">
                    <c:v>3.0000000000000001E-3</c:v>
                  </c:pt>
                  <c:pt idx="7">
                    <c:v>5.9999999999999995E-4</c:v>
                  </c:pt>
                  <c:pt idx="8">
                    <c:v>4.0000000000000002E-4</c:v>
                  </c:pt>
                  <c:pt idx="9">
                    <c:v>1E-3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0</c:v>
                  </c:pt>
                  <c:pt idx="13">
                    <c:v>3.0000000000000001E-3</c:v>
                  </c:pt>
                  <c:pt idx="14">
                    <c:v>1E-4</c:v>
                  </c:pt>
                  <c:pt idx="15">
                    <c:v>2.9999999999999997E-4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3E-4A7A-A7DD-551127D8AC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6.2281391204471778E-2</c:v>
                </c:pt>
                <c:pt idx="1">
                  <c:v>4.6522274772566728E-2</c:v>
                </c:pt>
                <c:pt idx="2">
                  <c:v>3.3709045800870585E-2</c:v>
                </c:pt>
                <c:pt idx="3">
                  <c:v>3.3708807614627037E-2</c:v>
                </c:pt>
                <c:pt idx="4">
                  <c:v>3.314930812853141E-2</c:v>
                </c:pt>
                <c:pt idx="5">
                  <c:v>3.3061655590905528E-2</c:v>
                </c:pt>
                <c:pt idx="6">
                  <c:v>3.2612198149329349E-2</c:v>
                </c:pt>
                <c:pt idx="7">
                  <c:v>3.2611959963085801E-2</c:v>
                </c:pt>
                <c:pt idx="8">
                  <c:v>3.0658832765987402E-2</c:v>
                </c:pt>
                <c:pt idx="9">
                  <c:v>3.0603097184997027E-2</c:v>
                </c:pt>
                <c:pt idx="10">
                  <c:v>3.0601429881292191E-2</c:v>
                </c:pt>
                <c:pt idx="11">
                  <c:v>3.0186747631274102E-2</c:v>
                </c:pt>
                <c:pt idx="12">
                  <c:v>2.7947320569430306E-2</c:v>
                </c:pt>
                <c:pt idx="13">
                  <c:v>2.7832276613796336E-2</c:v>
                </c:pt>
                <c:pt idx="14">
                  <c:v>2.7832038427552788E-2</c:v>
                </c:pt>
                <c:pt idx="15">
                  <c:v>2.6657065688127618E-2</c:v>
                </c:pt>
                <c:pt idx="16">
                  <c:v>2.6357665579987047E-2</c:v>
                </c:pt>
                <c:pt idx="17">
                  <c:v>2.5001194922977851E-2</c:v>
                </c:pt>
                <c:pt idx="18">
                  <c:v>2.5000956736734303E-2</c:v>
                </c:pt>
                <c:pt idx="19">
                  <c:v>2.4425498772320919E-2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3E-4A7A-A7DD-551127D8AC2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33081.5</c:v>
                </c:pt>
                <c:pt idx="2">
                  <c:v>59979</c:v>
                </c:pt>
                <c:pt idx="3">
                  <c:v>59979.5</c:v>
                </c:pt>
                <c:pt idx="4">
                  <c:v>61154</c:v>
                </c:pt>
                <c:pt idx="5">
                  <c:v>61338</c:v>
                </c:pt>
                <c:pt idx="6">
                  <c:v>62281.5</c:v>
                </c:pt>
                <c:pt idx="7">
                  <c:v>62282</c:v>
                </c:pt>
                <c:pt idx="8">
                  <c:v>66382</c:v>
                </c:pt>
                <c:pt idx="9">
                  <c:v>66499</c:v>
                </c:pt>
                <c:pt idx="10">
                  <c:v>66502.5</c:v>
                </c:pt>
                <c:pt idx="11">
                  <c:v>67373</c:v>
                </c:pt>
                <c:pt idx="12">
                  <c:v>72074</c:v>
                </c:pt>
                <c:pt idx="13">
                  <c:v>72315.5</c:v>
                </c:pt>
                <c:pt idx="14">
                  <c:v>72316</c:v>
                </c:pt>
                <c:pt idx="15">
                  <c:v>74782.5</c:v>
                </c:pt>
                <c:pt idx="16">
                  <c:v>75411</c:v>
                </c:pt>
                <c:pt idx="17">
                  <c:v>78258.5</c:v>
                </c:pt>
                <c:pt idx="18">
                  <c:v>78259</c:v>
                </c:pt>
                <c:pt idx="19">
                  <c:v>79467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-4.7600249963579699E-3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3E-4A7A-A7DD-551127D8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301616"/>
        <c:axId val="1"/>
      </c:scatterChart>
      <c:valAx>
        <c:axId val="75130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925096425203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39559014267185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301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76032422017284"/>
          <c:y val="0.92000129214617399"/>
          <c:w val="0.6238659272649285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485775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3F0283-44C4-9A93-3F0D-C3E84C150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konkoly.hu/cgi-bin/IBVS?5920" TargetMode="External"/><Relationship Id="rId3" Type="http://schemas.openxmlformats.org/officeDocument/2006/relationships/hyperlink" Target="http://www.bav-astro.de/sfs/BAVM_link.php?BAVMnr=152" TargetMode="External"/><Relationship Id="rId7" Type="http://schemas.openxmlformats.org/officeDocument/2006/relationships/hyperlink" Target="http://www.konkoly.hu/cgi-bin/IBVS?5690" TargetMode="External"/><Relationship Id="rId12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77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konkoly.hu/cgi-bin/IBVS?5690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24</v>
      </c>
      <c r="B2" s="10" t="s">
        <v>35</v>
      </c>
    </row>
    <row r="4" spans="1:6" ht="14.25" thickTop="1" thickBot="1">
      <c r="A4" s="7" t="s">
        <v>0</v>
      </c>
      <c r="C4" s="3">
        <v>33513.564899999998</v>
      </c>
      <c r="D4" s="4">
        <v>0.29880135000000002</v>
      </c>
    </row>
    <row r="5" spans="1:6" ht="13.5" thickTop="1">
      <c r="A5" s="11" t="s">
        <v>38</v>
      </c>
      <c r="B5" s="12"/>
      <c r="C5" s="13">
        <v>-9.5</v>
      </c>
      <c r="D5" s="12" t="s">
        <v>39</v>
      </c>
    </row>
    <row r="6" spans="1:6">
      <c r="A6" s="7" t="s">
        <v>1</v>
      </c>
    </row>
    <row r="7" spans="1:6">
      <c r="A7" t="s">
        <v>2</v>
      </c>
      <c r="C7">
        <f>+C4</f>
        <v>33513.564899999998</v>
      </c>
    </row>
    <row r="8" spans="1:6">
      <c r="A8" t="s">
        <v>3</v>
      </c>
      <c r="C8">
        <f>+D4</f>
        <v>0.29880135000000002</v>
      </c>
    </row>
    <row r="9" spans="1:6">
      <c r="A9" s="26" t="s">
        <v>44</v>
      </c>
      <c r="B9" s="27">
        <v>23</v>
      </c>
      <c r="C9" s="15" t="str">
        <f>"F"&amp;B9</f>
        <v>F23</v>
      </c>
      <c r="D9" s="16" t="str">
        <f>"G"&amp;B9</f>
        <v>G23</v>
      </c>
    </row>
    <row r="10" spans="1:6" ht="13.5" thickBot="1">
      <c r="A10" s="12"/>
      <c r="B10" s="12"/>
      <c r="C10" s="6" t="s">
        <v>20</v>
      </c>
      <c r="D10" s="6" t="s">
        <v>21</v>
      </c>
      <c r="E10" s="12"/>
    </row>
    <row r="11" spans="1:6">
      <c r="A11" s="12" t="s">
        <v>16</v>
      </c>
      <c r="B11" s="12"/>
      <c r="C11" s="14">
        <f ca="1">INTERCEPT(INDIRECT($D$9):G992,INDIRECT($C$9):F992)</f>
        <v>6.2281391204471778E-2</v>
      </c>
      <c r="D11" s="5"/>
      <c r="E11" s="12"/>
    </row>
    <row r="12" spans="1:6">
      <c r="A12" s="12" t="s">
        <v>17</v>
      </c>
      <c r="B12" s="12"/>
      <c r="C12" s="14">
        <f ca="1">SLOPE(INDIRECT($D$9):G992,INDIRECT($C$9):F992)</f>
        <v>-4.7637248709717061E-7</v>
      </c>
      <c r="D12" s="5"/>
      <c r="E12" s="12"/>
    </row>
    <row r="13" spans="1:6">
      <c r="A13" s="12" t="s">
        <v>19</v>
      </c>
      <c r="B13" s="12"/>
      <c r="C13" s="5" t="s">
        <v>14</v>
      </c>
    </row>
    <row r="14" spans="1:6">
      <c r="A14" s="12"/>
      <c r="B14" s="12"/>
      <c r="C14" s="12"/>
    </row>
    <row r="15" spans="1:6">
      <c r="A15" s="17" t="s">
        <v>18</v>
      </c>
      <c r="B15" s="12"/>
      <c r="C15" s="18">
        <f ca="1">(C7+C11)+(C8+C12)*INT(MAX(F21:F3533))</f>
        <v>57258.436205948768</v>
      </c>
      <c r="E15" s="19" t="s">
        <v>47</v>
      </c>
      <c r="F15" s="13">
        <v>1</v>
      </c>
    </row>
    <row r="16" spans="1:6">
      <c r="A16" s="21" t="s">
        <v>4</v>
      </c>
      <c r="B16" s="12"/>
      <c r="C16" s="22">
        <f ca="1">+C8+C12</f>
        <v>0.2988008736275129</v>
      </c>
      <c r="E16" s="19" t="s">
        <v>40</v>
      </c>
      <c r="F16" s="20">
        <f ca="1">NOW()+15018.5+$C$5/24</f>
        <v>60357.659943402774</v>
      </c>
    </row>
    <row r="17" spans="1:30" ht="13.5" thickBot="1">
      <c r="A17" s="19" t="s">
        <v>42</v>
      </c>
      <c r="B17" s="12"/>
      <c r="C17" s="12">
        <f>COUNT(C21:C2191)</f>
        <v>20</v>
      </c>
      <c r="E17" s="19" t="s">
        <v>48</v>
      </c>
      <c r="F17" s="20">
        <f ca="1">ROUND(2*(F16-$C$7)/$C$8,0)/2+F15</f>
        <v>89840.5</v>
      </c>
    </row>
    <row r="18" spans="1:30" ht="14.25" thickTop="1" thickBot="1">
      <c r="A18" s="21" t="s">
        <v>5</v>
      </c>
      <c r="B18" s="12"/>
      <c r="C18" s="24">
        <f ca="1">+C15</f>
        <v>57258.436205948768</v>
      </c>
      <c r="D18" s="25">
        <f ca="1">+C16</f>
        <v>0.2988008736275129</v>
      </c>
      <c r="E18" s="19" t="s">
        <v>41</v>
      </c>
      <c r="F18" s="16">
        <f ca="1">ROUND(2*(F16-$C$15)/$C$16,0)/2+F15</f>
        <v>10373</v>
      </c>
    </row>
    <row r="19" spans="1:30" ht="13.5" thickTop="1">
      <c r="E19" s="19" t="s">
        <v>43</v>
      </c>
      <c r="F19" s="23">
        <f ca="1">+$C$15+$C$16*F18-15018.5-$C$5/24</f>
        <v>45339.793501420296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60</v>
      </c>
      <c r="I20" s="9" t="s">
        <v>63</v>
      </c>
      <c r="J20" s="9" t="s">
        <v>57</v>
      </c>
      <c r="K20" s="9" t="s">
        <v>55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2" t="s">
        <v>128</v>
      </c>
    </row>
    <row r="21" spans="1:30">
      <c r="A21" t="s">
        <v>12</v>
      </c>
      <c r="B21" s="5"/>
      <c r="C21" s="28">
        <v>33513.564899999998</v>
      </c>
      <c r="D21" s="28" t="s">
        <v>14</v>
      </c>
      <c r="E21">
        <f t="shared" ref="E21:E39" si="0">+(C21-C$7)/C$8</f>
        <v>0</v>
      </c>
      <c r="F21">
        <f t="shared" ref="F21:F40" si="1">ROUND(2*E21,0)/2</f>
        <v>0</v>
      </c>
      <c r="G21">
        <f>+C21-(C$7+F21*C$8)</f>
        <v>0</v>
      </c>
      <c r="J21">
        <f>+G21</f>
        <v>0</v>
      </c>
      <c r="O21">
        <f t="shared" ref="O21:O39" ca="1" si="2">+C$11+C$12*$F21</f>
        <v>6.2281391204471778E-2</v>
      </c>
      <c r="Q21" s="2">
        <f t="shared" ref="Q21:Q39" si="3">+C21-15018.5</f>
        <v>18495.064899999998</v>
      </c>
    </row>
    <row r="22" spans="1:30">
      <c r="A22" t="s">
        <v>29</v>
      </c>
      <c r="B22" s="5"/>
      <c r="C22" s="29">
        <v>43398.357000000004</v>
      </c>
      <c r="D22" s="28"/>
      <c r="E22">
        <f t="shared" si="0"/>
        <v>33081.484069600105</v>
      </c>
      <c r="F22">
        <f t="shared" si="1"/>
        <v>33081.5</v>
      </c>
      <c r="O22">
        <f t="shared" ca="1" si="2"/>
        <v>4.6522274772566728E-2</v>
      </c>
      <c r="Q22" s="2">
        <f t="shared" si="3"/>
        <v>28379.857000000004</v>
      </c>
      <c r="U22">
        <f>+C22-(C$7+F22*C$8)</f>
        <v>-4.7600249963579699E-3</v>
      </c>
      <c r="AA22">
        <v>6</v>
      </c>
      <c r="AB22" t="s">
        <v>28</v>
      </c>
      <c r="AD22" t="s">
        <v>30</v>
      </c>
    </row>
    <row r="23" spans="1:30">
      <c r="A23" s="30" t="s">
        <v>31</v>
      </c>
      <c r="B23" s="62" t="s">
        <v>32</v>
      </c>
      <c r="C23" s="31">
        <v>51435.4035</v>
      </c>
      <c r="D23" s="31">
        <v>2.3E-3</v>
      </c>
      <c r="E23">
        <f t="shared" si="0"/>
        <v>59979.108528124125</v>
      </c>
      <c r="F23">
        <f t="shared" si="1"/>
        <v>59979</v>
      </c>
      <c r="G23">
        <f t="shared" ref="G23:G39" si="4">+C23-(C$7+F23*C$8)</f>
        <v>3.2428350001282524E-2</v>
      </c>
      <c r="K23">
        <f t="shared" ref="K23:K39" si="5">+G23</f>
        <v>3.2428350001282524E-2</v>
      </c>
      <c r="O23">
        <f t="shared" ca="1" si="2"/>
        <v>3.3709045800870585E-2</v>
      </c>
      <c r="Q23" s="2">
        <f t="shared" si="3"/>
        <v>36416.9035</v>
      </c>
    </row>
    <row r="24" spans="1:30">
      <c r="A24" s="30" t="s">
        <v>31</v>
      </c>
      <c r="B24" s="62" t="s">
        <v>33</v>
      </c>
      <c r="C24" s="31">
        <v>51435.553800000002</v>
      </c>
      <c r="D24" s="31">
        <v>1.9E-3</v>
      </c>
      <c r="E24">
        <f t="shared" si="0"/>
        <v>59979.611537899684</v>
      </c>
      <c r="F24">
        <f t="shared" si="1"/>
        <v>59979.5</v>
      </c>
      <c r="G24">
        <f t="shared" si="4"/>
        <v>3.3327675002510659E-2</v>
      </c>
      <c r="K24">
        <f t="shared" si="5"/>
        <v>3.3327675002510659E-2</v>
      </c>
      <c r="O24">
        <f t="shared" ca="1" si="2"/>
        <v>3.3708807614627037E-2</v>
      </c>
      <c r="Q24" s="2">
        <f t="shared" si="3"/>
        <v>36417.053800000002</v>
      </c>
    </row>
    <row r="25" spans="1:30">
      <c r="A25" s="32" t="s">
        <v>45</v>
      </c>
      <c r="B25" s="33" t="s">
        <v>32</v>
      </c>
      <c r="C25" s="32">
        <v>51786.4931</v>
      </c>
      <c r="D25" s="32">
        <v>1.9E-3</v>
      </c>
      <c r="E25">
        <f t="shared" si="0"/>
        <v>61154.101880731134</v>
      </c>
      <c r="F25">
        <f t="shared" si="1"/>
        <v>61154</v>
      </c>
      <c r="G25">
        <f t="shared" si="4"/>
        <v>3.044209999643499E-2</v>
      </c>
      <c r="J25">
        <f>+G25</f>
        <v>3.044209999643499E-2</v>
      </c>
      <c r="O25">
        <f t="shared" ca="1" si="2"/>
        <v>3.314930812853141E-2</v>
      </c>
      <c r="Q25" s="2">
        <f t="shared" si="3"/>
        <v>36767.9931</v>
      </c>
    </row>
    <row r="26" spans="1:30">
      <c r="A26" s="30" t="s">
        <v>34</v>
      </c>
      <c r="B26" s="62" t="s">
        <v>32</v>
      </c>
      <c r="C26" s="31">
        <v>51841.476499999997</v>
      </c>
      <c r="D26" s="31">
        <v>6.3E-3</v>
      </c>
      <c r="E26">
        <f t="shared" si="0"/>
        <v>61338.115105570971</v>
      </c>
      <c r="F26">
        <f t="shared" si="1"/>
        <v>61338</v>
      </c>
      <c r="G26">
        <f t="shared" si="4"/>
        <v>3.4393699999782257E-2</v>
      </c>
      <c r="K26">
        <f t="shared" si="5"/>
        <v>3.4393699999782257E-2</v>
      </c>
      <c r="O26">
        <f t="shared" ca="1" si="2"/>
        <v>3.3061655590905528E-2</v>
      </c>
      <c r="Q26" s="2">
        <f t="shared" si="3"/>
        <v>36822.976499999997</v>
      </c>
    </row>
    <row r="27" spans="1:30">
      <c r="A27" s="32" t="s">
        <v>45</v>
      </c>
      <c r="B27" s="33" t="s">
        <v>32</v>
      </c>
      <c r="C27" s="32">
        <v>52123.391000000003</v>
      </c>
      <c r="D27" s="32">
        <v>3.0000000000000001E-3</v>
      </c>
      <c r="E27">
        <f t="shared" si="0"/>
        <v>62281.599798662239</v>
      </c>
      <c r="F27">
        <f t="shared" si="1"/>
        <v>62281.5</v>
      </c>
      <c r="G27">
        <f t="shared" si="4"/>
        <v>2.9819975003192667E-2</v>
      </c>
      <c r="J27">
        <f>+G27</f>
        <v>2.9819975003192667E-2</v>
      </c>
      <c r="O27">
        <f t="shared" ca="1" si="2"/>
        <v>3.2612198149329349E-2</v>
      </c>
      <c r="Q27" s="2">
        <f t="shared" si="3"/>
        <v>37104.891000000003</v>
      </c>
    </row>
    <row r="28" spans="1:30">
      <c r="A28" s="35" t="s">
        <v>45</v>
      </c>
      <c r="B28" s="36" t="s">
        <v>32</v>
      </c>
      <c r="C28" s="35">
        <v>52123.542500000003</v>
      </c>
      <c r="D28" s="61">
        <v>5.9999999999999995E-4</v>
      </c>
      <c r="E28">
        <f t="shared" si="0"/>
        <v>62282.106824483904</v>
      </c>
      <c r="F28">
        <f t="shared" si="1"/>
        <v>62282</v>
      </c>
      <c r="G28">
        <f t="shared" si="4"/>
        <v>3.1919300003210083E-2</v>
      </c>
      <c r="J28">
        <f>+G28</f>
        <v>3.1919300003210083E-2</v>
      </c>
      <c r="O28">
        <f t="shared" ca="1" si="2"/>
        <v>3.2611959963085801E-2</v>
      </c>
      <c r="Q28" s="2">
        <f t="shared" si="3"/>
        <v>37105.042500000003</v>
      </c>
    </row>
    <row r="29" spans="1:30">
      <c r="A29" s="35" t="s">
        <v>49</v>
      </c>
      <c r="B29" s="36" t="s">
        <v>32</v>
      </c>
      <c r="C29" s="35">
        <v>53348.6273</v>
      </c>
      <c r="D29" s="35">
        <v>4.0000000000000002E-4</v>
      </c>
      <c r="E29">
        <f t="shared" si="0"/>
        <v>66382.10436465565</v>
      </c>
      <c r="F29">
        <f t="shared" si="1"/>
        <v>66382</v>
      </c>
      <c r="G29">
        <f t="shared" si="4"/>
        <v>3.1184300001768861E-2</v>
      </c>
      <c r="K29">
        <f t="shared" si="5"/>
        <v>3.1184300001768861E-2</v>
      </c>
      <c r="O29">
        <f t="shared" ca="1" si="2"/>
        <v>3.0658832765987402E-2</v>
      </c>
      <c r="Q29" s="2">
        <f t="shared" si="3"/>
        <v>38330.1273</v>
      </c>
    </row>
    <row r="30" spans="1:30">
      <c r="A30" s="35" t="s">
        <v>49</v>
      </c>
      <c r="B30" s="36" t="s">
        <v>32</v>
      </c>
      <c r="C30" s="35">
        <v>53383.588100000001</v>
      </c>
      <c r="D30" s="35">
        <v>1E-3</v>
      </c>
      <c r="E30">
        <f t="shared" si="0"/>
        <v>66499.107852089699</v>
      </c>
      <c r="F30">
        <f t="shared" si="1"/>
        <v>66499</v>
      </c>
      <c r="G30">
        <f t="shared" si="4"/>
        <v>3.2226350005657878E-2</v>
      </c>
      <c r="K30">
        <f t="shared" si="5"/>
        <v>3.2226350005657878E-2</v>
      </c>
      <c r="O30">
        <f t="shared" ca="1" si="2"/>
        <v>3.0603097184997027E-2</v>
      </c>
      <c r="Q30" s="2">
        <f t="shared" si="3"/>
        <v>38365.088100000001</v>
      </c>
    </row>
    <row r="31" spans="1:30">
      <c r="A31" s="35" t="s">
        <v>49</v>
      </c>
      <c r="B31" s="36" t="s">
        <v>33</v>
      </c>
      <c r="C31" s="35">
        <v>53384.633399999999</v>
      </c>
      <c r="D31" s="35">
        <v>5.0000000000000001E-4</v>
      </c>
      <c r="E31">
        <f t="shared" si="0"/>
        <v>66502.606162923956</v>
      </c>
      <c r="F31">
        <f t="shared" si="1"/>
        <v>66502.5</v>
      </c>
      <c r="G31">
        <f t="shared" si="4"/>
        <v>3.1721625004138332E-2</v>
      </c>
      <c r="K31">
        <f t="shared" si="5"/>
        <v>3.1721625004138332E-2</v>
      </c>
      <c r="O31">
        <f t="shared" ca="1" si="2"/>
        <v>3.0601429881292191E-2</v>
      </c>
      <c r="Q31" s="2">
        <f t="shared" si="3"/>
        <v>38366.133399999999</v>
      </c>
    </row>
    <row r="32" spans="1:30">
      <c r="A32" s="34" t="s">
        <v>36</v>
      </c>
      <c r="B32" s="33" t="s">
        <v>32</v>
      </c>
      <c r="C32" s="31">
        <v>53644.7399</v>
      </c>
      <c r="D32" s="31">
        <v>1E-4</v>
      </c>
      <c r="E32">
        <f t="shared" si="0"/>
        <v>67373.105911335413</v>
      </c>
      <c r="F32">
        <f t="shared" si="1"/>
        <v>67373</v>
      </c>
      <c r="G32">
        <f t="shared" si="4"/>
        <v>3.1646450006519444E-2</v>
      </c>
      <c r="K32">
        <f t="shared" si="5"/>
        <v>3.1646450006519444E-2</v>
      </c>
      <c r="O32">
        <f t="shared" ca="1" si="2"/>
        <v>3.0186747631274102E-2</v>
      </c>
      <c r="Q32" s="2">
        <f t="shared" si="3"/>
        <v>38626.2399</v>
      </c>
    </row>
    <row r="33" spans="1:17">
      <c r="A33" s="51" t="s">
        <v>111</v>
      </c>
      <c r="B33" s="50" t="s">
        <v>32</v>
      </c>
      <c r="C33" s="51">
        <v>55049.404699999999</v>
      </c>
      <c r="D33" s="51" t="s">
        <v>63</v>
      </c>
      <c r="E33">
        <f t="shared" si="0"/>
        <v>72074.104752204104</v>
      </c>
      <c r="F33">
        <f t="shared" si="1"/>
        <v>72074</v>
      </c>
      <c r="G33">
        <f t="shared" si="4"/>
        <v>3.1300100003136322E-2</v>
      </c>
      <c r="I33">
        <f>+G33</f>
        <v>3.1300100003136322E-2</v>
      </c>
      <c r="O33">
        <f t="shared" ca="1" si="2"/>
        <v>2.7947320569430306E-2</v>
      </c>
      <c r="Q33" s="2">
        <f t="shared" si="3"/>
        <v>40030.904699999999</v>
      </c>
    </row>
    <row r="34" spans="1:17">
      <c r="A34" s="35" t="s">
        <v>46</v>
      </c>
      <c r="B34" s="36" t="s">
        <v>33</v>
      </c>
      <c r="C34" s="35">
        <v>55121.563999999998</v>
      </c>
      <c r="D34" s="35">
        <v>3.0000000000000001E-3</v>
      </c>
      <c r="E34">
        <f t="shared" si="0"/>
        <v>72315.600649059983</v>
      </c>
      <c r="F34">
        <f t="shared" si="1"/>
        <v>72315.5</v>
      </c>
      <c r="G34">
        <f t="shared" si="4"/>
        <v>3.0074074995354749E-2</v>
      </c>
      <c r="K34">
        <f t="shared" si="5"/>
        <v>3.0074074995354749E-2</v>
      </c>
      <c r="O34">
        <f t="shared" ca="1" si="2"/>
        <v>2.7832276613796336E-2</v>
      </c>
      <c r="Q34" s="2">
        <f t="shared" si="3"/>
        <v>40103.063999999998</v>
      </c>
    </row>
    <row r="35" spans="1:17">
      <c r="A35" s="35" t="s">
        <v>46</v>
      </c>
      <c r="B35" s="36" t="s">
        <v>32</v>
      </c>
      <c r="C35" s="35">
        <v>55121.713400000001</v>
      </c>
      <c r="D35" s="35">
        <v>1E-4</v>
      </c>
      <c r="E35">
        <f t="shared" si="0"/>
        <v>72316.100646800958</v>
      </c>
      <c r="F35">
        <f t="shared" si="1"/>
        <v>72316</v>
      </c>
      <c r="G35">
        <f t="shared" si="4"/>
        <v>3.0073399997490924E-2</v>
      </c>
      <c r="K35">
        <f t="shared" si="5"/>
        <v>3.0073399997490924E-2</v>
      </c>
      <c r="O35">
        <f t="shared" ca="1" si="2"/>
        <v>2.7832038427552788E-2</v>
      </c>
      <c r="Q35" s="2">
        <f t="shared" si="3"/>
        <v>40103.213400000001</v>
      </c>
    </row>
    <row r="36" spans="1:17">
      <c r="A36" s="35" t="s">
        <v>50</v>
      </c>
      <c r="B36" s="36" t="s">
        <v>32</v>
      </c>
      <c r="C36" s="35">
        <v>55858.703399999999</v>
      </c>
      <c r="D36" s="35">
        <v>2.9999999999999997E-4</v>
      </c>
      <c r="E36">
        <f t="shared" si="0"/>
        <v>74782.588833684989</v>
      </c>
      <c r="F36">
        <f t="shared" si="1"/>
        <v>74782.5</v>
      </c>
      <c r="G36">
        <f t="shared" si="4"/>
        <v>2.6543625004705973E-2</v>
      </c>
      <c r="K36">
        <f t="shared" si="5"/>
        <v>2.6543625004705973E-2</v>
      </c>
      <c r="O36">
        <f t="shared" ca="1" si="2"/>
        <v>2.6657065688127618E-2</v>
      </c>
      <c r="Q36" s="2">
        <f t="shared" si="3"/>
        <v>40840.203399999999</v>
      </c>
    </row>
    <row r="37" spans="1:17">
      <c r="A37" s="53" t="s">
        <v>51</v>
      </c>
      <c r="B37" s="54" t="s">
        <v>32</v>
      </c>
      <c r="C37" s="55">
        <v>56046.500959999998</v>
      </c>
      <c r="D37" s="55">
        <v>1E-4</v>
      </c>
      <c r="E37">
        <f t="shared" si="0"/>
        <v>75411.091884290348</v>
      </c>
      <c r="F37">
        <f t="shared" si="1"/>
        <v>75411</v>
      </c>
      <c r="G37">
        <f t="shared" si="4"/>
        <v>2.7455149996967521E-2</v>
      </c>
      <c r="K37">
        <f t="shared" si="5"/>
        <v>2.7455149996967521E-2</v>
      </c>
      <c r="O37">
        <f t="shared" ca="1" si="2"/>
        <v>2.6357665579987047E-2</v>
      </c>
      <c r="Q37" s="2">
        <f t="shared" si="3"/>
        <v>41028.000959999998</v>
      </c>
    </row>
    <row r="38" spans="1:17">
      <c r="A38" s="55" t="s">
        <v>52</v>
      </c>
      <c r="B38" s="54" t="s">
        <v>33</v>
      </c>
      <c r="C38" s="56">
        <v>56897.333809999996</v>
      </c>
      <c r="D38" s="55">
        <v>2.9999999999999997E-4</v>
      </c>
      <c r="E38">
        <f t="shared" si="0"/>
        <v>78258.578517131857</v>
      </c>
      <c r="F38">
        <f t="shared" si="1"/>
        <v>78258.5</v>
      </c>
      <c r="G38">
        <f t="shared" si="4"/>
        <v>2.3461024997232016E-2</v>
      </c>
      <c r="K38">
        <f t="shared" si="5"/>
        <v>2.3461024997232016E-2</v>
      </c>
      <c r="O38">
        <f t="shared" ca="1" si="2"/>
        <v>2.5001194922977851E-2</v>
      </c>
      <c r="Q38" s="2">
        <f t="shared" si="3"/>
        <v>41878.833809999996</v>
      </c>
    </row>
    <row r="39" spans="1:17">
      <c r="A39" s="55" t="s">
        <v>52</v>
      </c>
      <c r="B39" s="54" t="s">
        <v>32</v>
      </c>
      <c r="C39" s="56">
        <v>56897.483670000001</v>
      </c>
      <c r="D39" s="55">
        <v>4.0000000000000002E-4</v>
      </c>
      <c r="E39">
        <f t="shared" si="0"/>
        <v>78259.080054357197</v>
      </c>
      <c r="F39">
        <f t="shared" si="1"/>
        <v>78259</v>
      </c>
      <c r="G39">
        <f t="shared" si="4"/>
        <v>2.3920350002299529E-2</v>
      </c>
      <c r="K39">
        <f t="shared" si="5"/>
        <v>2.3920350002299529E-2</v>
      </c>
      <c r="O39">
        <f t="shared" ca="1" si="2"/>
        <v>2.5000956736734303E-2</v>
      </c>
      <c r="Q39" s="2">
        <f t="shared" si="3"/>
        <v>41878.983670000001</v>
      </c>
    </row>
    <row r="40" spans="1:17">
      <c r="A40" s="57" t="s">
        <v>129</v>
      </c>
      <c r="B40" s="58" t="s">
        <v>32</v>
      </c>
      <c r="C40" s="59">
        <v>57258.431799999998</v>
      </c>
      <c r="D40" s="60">
        <v>2.0000000000000001E-4</v>
      </c>
      <c r="E40">
        <f>+(C40-C$7)/C$8</f>
        <v>79467.066999529954</v>
      </c>
      <c r="F40">
        <f t="shared" si="1"/>
        <v>79467</v>
      </c>
      <c r="G40">
        <f>+C40-(C$7+F40*C$8)</f>
        <v>2.0019550000142772E-2</v>
      </c>
      <c r="K40">
        <f>+G40</f>
        <v>2.0019550000142772E-2</v>
      </c>
      <c r="O40">
        <f ca="1">+C$11+C$12*$F40</f>
        <v>2.4425498772320919E-2</v>
      </c>
      <c r="Q40" s="2">
        <f>+C40-15018.5</f>
        <v>42239.931799999998</v>
      </c>
    </row>
    <row r="41" spans="1:17">
      <c r="B41" s="5"/>
      <c r="D41" s="5"/>
    </row>
    <row r="42" spans="1:17">
      <c r="B42" s="5"/>
      <c r="D42" s="5"/>
    </row>
    <row r="43" spans="1:17">
      <c r="D43" s="5"/>
    </row>
    <row r="44" spans="1:17">
      <c r="D44" s="5"/>
    </row>
    <row r="45" spans="1:17">
      <c r="D45" s="5"/>
    </row>
    <row r="46" spans="1:17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topLeftCell="A2" workbookViewId="0">
      <selection activeCell="A25" sqref="A25:D25"/>
    </sheetView>
  </sheetViews>
  <sheetFormatPr defaultRowHeight="12.75"/>
  <cols>
    <col min="1" max="1" width="19.7109375" style="28" customWidth="1"/>
    <col min="2" max="2" width="4.42578125" style="12" customWidth="1"/>
    <col min="3" max="3" width="12.7109375" style="2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2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53</v>
      </c>
      <c r="I1" s="38" t="s">
        <v>54</v>
      </c>
      <c r="J1" s="39" t="s">
        <v>55</v>
      </c>
    </row>
    <row r="2" spans="1:16">
      <c r="I2" s="40" t="s">
        <v>56</v>
      </c>
      <c r="J2" s="41" t="s">
        <v>57</v>
      </c>
    </row>
    <row r="3" spans="1:16">
      <c r="A3" s="42" t="s">
        <v>58</v>
      </c>
      <c r="I3" s="40" t="s">
        <v>59</v>
      </c>
      <c r="J3" s="41" t="s">
        <v>60</v>
      </c>
    </row>
    <row r="4" spans="1:16">
      <c r="I4" s="40" t="s">
        <v>61</v>
      </c>
      <c r="J4" s="41" t="s">
        <v>60</v>
      </c>
    </row>
    <row r="5" spans="1:16" ht="13.5" thickBot="1">
      <c r="I5" s="43" t="s">
        <v>62</v>
      </c>
      <c r="J5" s="44" t="s">
        <v>63</v>
      </c>
    </row>
    <row r="10" spans="1:16" ht="13.5" thickBot="1"/>
    <row r="11" spans="1:16" ht="12.75" customHeight="1" thickBot="1">
      <c r="A11" s="28" t="str">
        <f t="shared" ref="A11:A25" si="0">P11</f>
        <v>IBVS 5263 </v>
      </c>
      <c r="B11" s="5" t="str">
        <f t="shared" ref="B11:B25" si="1">IF(H11=INT(H11),"I","II")</f>
        <v>I</v>
      </c>
      <c r="C11" s="28">
        <f t="shared" ref="C11:C25" si="2">1*G11</f>
        <v>51435.4035</v>
      </c>
      <c r="D11" s="12" t="str">
        <f t="shared" ref="D11:D25" si="3">VLOOKUP(F11,I$1:J$5,2,FALSE)</f>
        <v>vis</v>
      </c>
      <c r="E11" s="45">
        <f>VLOOKUP(C11,Active!C$21:E$973,3,FALSE)</f>
        <v>59979.108528124125</v>
      </c>
      <c r="F11" s="5" t="s">
        <v>62</v>
      </c>
      <c r="G11" s="12" t="str">
        <f t="shared" ref="G11:G25" si="4">MID(I11,3,LEN(I11)-3)</f>
        <v>51435.4035</v>
      </c>
      <c r="H11" s="28">
        <f t="shared" ref="H11:H25" si="5">1*K11</f>
        <v>59979</v>
      </c>
      <c r="I11" s="46" t="s">
        <v>64</v>
      </c>
      <c r="J11" s="47" t="s">
        <v>65</v>
      </c>
      <c r="K11" s="46">
        <v>59979</v>
      </c>
      <c r="L11" s="46" t="s">
        <v>66</v>
      </c>
      <c r="M11" s="47" t="s">
        <v>67</v>
      </c>
      <c r="N11" s="47" t="s">
        <v>68</v>
      </c>
      <c r="O11" s="48" t="s">
        <v>69</v>
      </c>
      <c r="P11" s="49" t="s">
        <v>70</v>
      </c>
    </row>
    <row r="12" spans="1:16" ht="12.75" customHeight="1" thickBot="1">
      <c r="A12" s="28" t="str">
        <f t="shared" si="0"/>
        <v>IBVS 5263 </v>
      </c>
      <c r="B12" s="5" t="str">
        <f t="shared" si="1"/>
        <v>II</v>
      </c>
      <c r="C12" s="28">
        <f t="shared" si="2"/>
        <v>51435.553800000002</v>
      </c>
      <c r="D12" s="12" t="str">
        <f t="shared" si="3"/>
        <v>vis</v>
      </c>
      <c r="E12" s="45">
        <f>VLOOKUP(C12,Active!C$21:E$973,3,FALSE)</f>
        <v>59979.611537899684</v>
      </c>
      <c r="F12" s="5" t="s">
        <v>62</v>
      </c>
      <c r="G12" s="12" t="str">
        <f t="shared" si="4"/>
        <v>51435.5538</v>
      </c>
      <c r="H12" s="28">
        <f t="shared" si="5"/>
        <v>59979.5</v>
      </c>
      <c r="I12" s="46" t="s">
        <v>71</v>
      </c>
      <c r="J12" s="47" t="s">
        <v>72</v>
      </c>
      <c r="K12" s="46">
        <v>59979.5</v>
      </c>
      <c r="L12" s="46" t="s">
        <v>73</v>
      </c>
      <c r="M12" s="47" t="s">
        <v>67</v>
      </c>
      <c r="N12" s="47" t="s">
        <v>68</v>
      </c>
      <c r="O12" s="48" t="s">
        <v>69</v>
      </c>
      <c r="P12" s="49" t="s">
        <v>70</v>
      </c>
    </row>
    <row r="13" spans="1:16" ht="12.75" customHeight="1" thickBot="1">
      <c r="A13" s="28" t="str">
        <f t="shared" si="0"/>
        <v>BAVM 152 </v>
      </c>
      <c r="B13" s="5" t="str">
        <f t="shared" si="1"/>
        <v>I</v>
      </c>
      <c r="C13" s="28">
        <f t="shared" si="2"/>
        <v>51786.4931</v>
      </c>
      <c r="D13" s="12" t="str">
        <f t="shared" si="3"/>
        <v>vis</v>
      </c>
      <c r="E13" s="45">
        <f>VLOOKUP(C13,Active!C$21:E$973,3,FALSE)</f>
        <v>61154.101880731134</v>
      </c>
      <c r="F13" s="5" t="s">
        <v>62</v>
      </c>
      <c r="G13" s="12" t="str">
        <f t="shared" si="4"/>
        <v>51786.4931</v>
      </c>
      <c r="H13" s="28">
        <f t="shared" si="5"/>
        <v>61154</v>
      </c>
      <c r="I13" s="46" t="s">
        <v>74</v>
      </c>
      <c r="J13" s="47" t="s">
        <v>75</v>
      </c>
      <c r="K13" s="46">
        <v>61154</v>
      </c>
      <c r="L13" s="46" t="s">
        <v>76</v>
      </c>
      <c r="M13" s="47" t="s">
        <v>67</v>
      </c>
      <c r="N13" s="47" t="s">
        <v>77</v>
      </c>
      <c r="O13" s="48" t="s">
        <v>78</v>
      </c>
      <c r="P13" s="49" t="s">
        <v>79</v>
      </c>
    </row>
    <row r="14" spans="1:16" ht="12.75" customHeight="1" thickBot="1">
      <c r="A14" s="28" t="str">
        <f t="shared" si="0"/>
        <v>IBVS 5287 </v>
      </c>
      <c r="B14" s="5" t="str">
        <f t="shared" si="1"/>
        <v>I</v>
      </c>
      <c r="C14" s="28">
        <f t="shared" si="2"/>
        <v>51841.476499999997</v>
      </c>
      <c r="D14" s="12" t="str">
        <f t="shared" si="3"/>
        <v>vis</v>
      </c>
      <c r="E14" s="45">
        <f>VLOOKUP(C14,Active!C$21:E$973,3,FALSE)</f>
        <v>61338.115105570971</v>
      </c>
      <c r="F14" s="5" t="s">
        <v>62</v>
      </c>
      <c r="G14" s="12" t="str">
        <f t="shared" si="4"/>
        <v>51841.4765</v>
      </c>
      <c r="H14" s="28">
        <f t="shared" si="5"/>
        <v>61338</v>
      </c>
      <c r="I14" s="46" t="s">
        <v>80</v>
      </c>
      <c r="J14" s="47" t="s">
        <v>81</v>
      </c>
      <c r="K14" s="46">
        <v>61338</v>
      </c>
      <c r="L14" s="46" t="s">
        <v>82</v>
      </c>
      <c r="M14" s="47" t="s">
        <v>67</v>
      </c>
      <c r="N14" s="47" t="s">
        <v>68</v>
      </c>
      <c r="O14" s="48" t="s">
        <v>69</v>
      </c>
      <c r="P14" s="49" t="s">
        <v>83</v>
      </c>
    </row>
    <row r="15" spans="1:16" ht="12.75" customHeight="1" thickBot="1">
      <c r="A15" s="28" t="str">
        <f t="shared" si="0"/>
        <v>BAVM 152 </v>
      </c>
      <c r="B15" s="5" t="str">
        <f t="shared" si="1"/>
        <v>II</v>
      </c>
      <c r="C15" s="28">
        <f t="shared" si="2"/>
        <v>52123.391000000003</v>
      </c>
      <c r="D15" s="12" t="str">
        <f t="shared" si="3"/>
        <v>vis</v>
      </c>
      <c r="E15" s="45">
        <f>VLOOKUP(C15,Active!C$21:E$973,3,FALSE)</f>
        <v>62281.599798662239</v>
      </c>
      <c r="F15" s="5" t="s">
        <v>62</v>
      </c>
      <c r="G15" s="12" t="str">
        <f t="shared" si="4"/>
        <v>52123.391</v>
      </c>
      <c r="H15" s="28">
        <f t="shared" si="5"/>
        <v>62281.5</v>
      </c>
      <c r="I15" s="46" t="s">
        <v>84</v>
      </c>
      <c r="J15" s="47" t="s">
        <v>85</v>
      </c>
      <c r="K15" s="46">
        <v>62281.5</v>
      </c>
      <c r="L15" s="46" t="s">
        <v>86</v>
      </c>
      <c r="M15" s="47" t="s">
        <v>67</v>
      </c>
      <c r="N15" s="47" t="s">
        <v>77</v>
      </c>
      <c r="O15" s="48" t="s">
        <v>78</v>
      </c>
      <c r="P15" s="49" t="s">
        <v>79</v>
      </c>
    </row>
    <row r="16" spans="1:16" ht="12.75" customHeight="1" thickBot="1">
      <c r="A16" s="28" t="str">
        <f t="shared" si="0"/>
        <v>BAVM 152 </v>
      </c>
      <c r="B16" s="5" t="str">
        <f t="shared" si="1"/>
        <v>I</v>
      </c>
      <c r="C16" s="28">
        <f t="shared" si="2"/>
        <v>52123.542500000003</v>
      </c>
      <c r="D16" s="12" t="str">
        <f t="shared" si="3"/>
        <v>vis</v>
      </c>
      <c r="E16" s="45">
        <f>VLOOKUP(C16,Active!C$21:E$973,3,FALSE)</f>
        <v>62282.106824483904</v>
      </c>
      <c r="F16" s="5" t="s">
        <v>62</v>
      </c>
      <c r="G16" s="12" t="str">
        <f t="shared" si="4"/>
        <v>52123.5425</v>
      </c>
      <c r="H16" s="28">
        <f t="shared" si="5"/>
        <v>62282</v>
      </c>
      <c r="I16" s="46" t="s">
        <v>87</v>
      </c>
      <c r="J16" s="47" t="s">
        <v>88</v>
      </c>
      <c r="K16" s="46">
        <v>62282</v>
      </c>
      <c r="L16" s="46" t="s">
        <v>89</v>
      </c>
      <c r="M16" s="47" t="s">
        <v>67</v>
      </c>
      <c r="N16" s="47" t="s">
        <v>77</v>
      </c>
      <c r="O16" s="48" t="s">
        <v>78</v>
      </c>
      <c r="P16" s="49" t="s">
        <v>79</v>
      </c>
    </row>
    <row r="17" spans="1:16" ht="12.75" customHeight="1" thickBot="1">
      <c r="A17" s="28" t="str">
        <f t="shared" si="0"/>
        <v>IBVS 5690 </v>
      </c>
      <c r="B17" s="5" t="str">
        <f t="shared" si="1"/>
        <v>I</v>
      </c>
      <c r="C17" s="28">
        <f t="shared" si="2"/>
        <v>53348.6273</v>
      </c>
      <c r="D17" s="12" t="str">
        <f t="shared" si="3"/>
        <v>vis</v>
      </c>
      <c r="E17" s="45">
        <f>VLOOKUP(C17,Active!C$21:E$973,3,FALSE)</f>
        <v>66382.10436465565</v>
      </c>
      <c r="F17" s="5" t="s">
        <v>62</v>
      </c>
      <c r="G17" s="12" t="str">
        <f t="shared" si="4"/>
        <v>53348.6273</v>
      </c>
      <c r="H17" s="28">
        <f t="shared" si="5"/>
        <v>66382</v>
      </c>
      <c r="I17" s="46" t="s">
        <v>90</v>
      </c>
      <c r="J17" s="47" t="s">
        <v>91</v>
      </c>
      <c r="K17" s="46">
        <v>66382</v>
      </c>
      <c r="L17" s="46" t="s">
        <v>92</v>
      </c>
      <c r="M17" s="47" t="s">
        <v>67</v>
      </c>
      <c r="N17" s="47" t="s">
        <v>68</v>
      </c>
      <c r="O17" s="48" t="s">
        <v>93</v>
      </c>
      <c r="P17" s="49" t="s">
        <v>94</v>
      </c>
    </row>
    <row r="18" spans="1:16" ht="12.75" customHeight="1" thickBot="1">
      <c r="A18" s="28" t="str">
        <f t="shared" si="0"/>
        <v>IBVS 5690 </v>
      </c>
      <c r="B18" s="5" t="str">
        <f t="shared" si="1"/>
        <v>I</v>
      </c>
      <c r="C18" s="28">
        <f t="shared" si="2"/>
        <v>53383.588100000001</v>
      </c>
      <c r="D18" s="12" t="str">
        <f t="shared" si="3"/>
        <v>vis</v>
      </c>
      <c r="E18" s="45">
        <f>VLOOKUP(C18,Active!C$21:E$973,3,FALSE)</f>
        <v>66499.107852089699</v>
      </c>
      <c r="F18" s="5" t="s">
        <v>62</v>
      </c>
      <c r="G18" s="12" t="str">
        <f t="shared" si="4"/>
        <v>53383.5881</v>
      </c>
      <c r="H18" s="28">
        <f t="shared" si="5"/>
        <v>66499</v>
      </c>
      <c r="I18" s="46" t="s">
        <v>95</v>
      </c>
      <c r="J18" s="47" t="s">
        <v>96</v>
      </c>
      <c r="K18" s="46">
        <v>66499</v>
      </c>
      <c r="L18" s="46" t="s">
        <v>97</v>
      </c>
      <c r="M18" s="47" t="s">
        <v>67</v>
      </c>
      <c r="N18" s="47" t="s">
        <v>68</v>
      </c>
      <c r="O18" s="48" t="s">
        <v>93</v>
      </c>
      <c r="P18" s="49" t="s">
        <v>94</v>
      </c>
    </row>
    <row r="19" spans="1:16" ht="12.75" customHeight="1" thickBot="1">
      <c r="A19" s="28" t="str">
        <f t="shared" si="0"/>
        <v>IBVS 5690 </v>
      </c>
      <c r="B19" s="5" t="str">
        <f t="shared" si="1"/>
        <v>II</v>
      </c>
      <c r="C19" s="28">
        <f t="shared" si="2"/>
        <v>53384.633399999999</v>
      </c>
      <c r="D19" s="12" t="str">
        <f t="shared" si="3"/>
        <v>vis</v>
      </c>
      <c r="E19" s="45">
        <f>VLOOKUP(C19,Active!C$21:E$973,3,FALSE)</f>
        <v>66502.606162923956</v>
      </c>
      <c r="F19" s="5" t="s">
        <v>62</v>
      </c>
      <c r="G19" s="12" t="str">
        <f t="shared" si="4"/>
        <v>53384.6334</v>
      </c>
      <c r="H19" s="28">
        <f t="shared" si="5"/>
        <v>66502.5</v>
      </c>
      <c r="I19" s="46" t="s">
        <v>98</v>
      </c>
      <c r="J19" s="47" t="s">
        <v>99</v>
      </c>
      <c r="K19" s="46">
        <v>66502.5</v>
      </c>
      <c r="L19" s="46" t="s">
        <v>100</v>
      </c>
      <c r="M19" s="47" t="s">
        <v>67</v>
      </c>
      <c r="N19" s="47" t="s">
        <v>68</v>
      </c>
      <c r="O19" s="48" t="s">
        <v>93</v>
      </c>
      <c r="P19" s="49" t="s">
        <v>94</v>
      </c>
    </row>
    <row r="20" spans="1:16" ht="12.75" customHeight="1" thickBot="1">
      <c r="A20" s="28" t="str">
        <f t="shared" si="0"/>
        <v>IBVS 5677 </v>
      </c>
      <c r="B20" s="5" t="str">
        <f t="shared" si="1"/>
        <v>I</v>
      </c>
      <c r="C20" s="28">
        <f t="shared" si="2"/>
        <v>53644.7399</v>
      </c>
      <c r="D20" s="12" t="str">
        <f t="shared" si="3"/>
        <v>vis</v>
      </c>
      <c r="E20" s="45">
        <f>VLOOKUP(C20,Active!C$21:E$973,3,FALSE)</f>
        <v>67373.105911335413</v>
      </c>
      <c r="F20" s="5" t="s">
        <v>62</v>
      </c>
      <c r="G20" s="12" t="str">
        <f t="shared" si="4"/>
        <v>53644.7399</v>
      </c>
      <c r="H20" s="28">
        <f t="shared" si="5"/>
        <v>67373</v>
      </c>
      <c r="I20" s="46" t="s">
        <v>101</v>
      </c>
      <c r="J20" s="47" t="s">
        <v>102</v>
      </c>
      <c r="K20" s="46">
        <v>67373</v>
      </c>
      <c r="L20" s="46" t="s">
        <v>103</v>
      </c>
      <c r="M20" s="47" t="s">
        <v>67</v>
      </c>
      <c r="N20" s="47" t="s">
        <v>68</v>
      </c>
      <c r="O20" s="48" t="s">
        <v>104</v>
      </c>
      <c r="P20" s="49" t="s">
        <v>105</v>
      </c>
    </row>
    <row r="21" spans="1:16" ht="12.75" customHeight="1" thickBot="1">
      <c r="A21" s="28" t="str">
        <f t="shared" si="0"/>
        <v>IBVS 5920 </v>
      </c>
      <c r="B21" s="5" t="str">
        <f t="shared" si="1"/>
        <v>II</v>
      </c>
      <c r="C21" s="28">
        <f t="shared" si="2"/>
        <v>55121.563999999998</v>
      </c>
      <c r="D21" s="12" t="str">
        <f t="shared" si="3"/>
        <v>vis</v>
      </c>
      <c r="E21" s="45">
        <f>VLOOKUP(C21,Active!C$21:E$973,3,FALSE)</f>
        <v>72315.600649059983</v>
      </c>
      <c r="F21" s="5" t="s">
        <v>62</v>
      </c>
      <c r="G21" s="12" t="str">
        <f t="shared" si="4"/>
        <v>55121.564</v>
      </c>
      <c r="H21" s="28">
        <f t="shared" si="5"/>
        <v>72315.5</v>
      </c>
      <c r="I21" s="46" t="s">
        <v>112</v>
      </c>
      <c r="J21" s="47" t="s">
        <v>113</v>
      </c>
      <c r="K21" s="46">
        <v>72315.5</v>
      </c>
      <c r="L21" s="46" t="s">
        <v>86</v>
      </c>
      <c r="M21" s="47" t="s">
        <v>109</v>
      </c>
      <c r="N21" s="47" t="s">
        <v>62</v>
      </c>
      <c r="O21" s="48" t="s">
        <v>114</v>
      </c>
      <c r="P21" s="49" t="s">
        <v>115</v>
      </c>
    </row>
    <row r="22" spans="1:16" ht="12.75" customHeight="1" thickBot="1">
      <c r="A22" s="28" t="str">
        <f t="shared" si="0"/>
        <v>IBVS 5920 </v>
      </c>
      <c r="B22" s="5" t="str">
        <f t="shared" si="1"/>
        <v>I</v>
      </c>
      <c r="C22" s="28">
        <f t="shared" si="2"/>
        <v>55121.713400000001</v>
      </c>
      <c r="D22" s="12" t="str">
        <f t="shared" si="3"/>
        <v>vis</v>
      </c>
      <c r="E22" s="45">
        <f>VLOOKUP(C22,Active!C$21:E$973,3,FALSE)</f>
        <v>72316.100646800958</v>
      </c>
      <c r="F22" s="5" t="s">
        <v>62</v>
      </c>
      <c r="G22" s="12" t="str">
        <f t="shared" si="4"/>
        <v>55121.7134</v>
      </c>
      <c r="H22" s="28">
        <f t="shared" si="5"/>
        <v>72316</v>
      </c>
      <c r="I22" s="46" t="s">
        <v>116</v>
      </c>
      <c r="J22" s="47" t="s">
        <v>117</v>
      </c>
      <c r="K22" s="46">
        <v>72316</v>
      </c>
      <c r="L22" s="46" t="s">
        <v>118</v>
      </c>
      <c r="M22" s="47" t="s">
        <v>109</v>
      </c>
      <c r="N22" s="47" t="s">
        <v>62</v>
      </c>
      <c r="O22" s="48" t="s">
        <v>114</v>
      </c>
      <c r="P22" s="49" t="s">
        <v>115</v>
      </c>
    </row>
    <row r="23" spans="1:16" ht="12.75" customHeight="1" thickBot="1">
      <c r="A23" s="28" t="str">
        <f t="shared" si="0"/>
        <v>IBVS 6011 </v>
      </c>
      <c r="B23" s="5" t="str">
        <f t="shared" si="1"/>
        <v>II</v>
      </c>
      <c r="C23" s="28">
        <f t="shared" si="2"/>
        <v>55858.703399999999</v>
      </c>
      <c r="D23" s="12" t="str">
        <f t="shared" si="3"/>
        <v>vis</v>
      </c>
      <c r="E23" s="45">
        <f>VLOOKUP(C23,Active!C$21:E$973,3,FALSE)</f>
        <v>74782.588833684989</v>
      </c>
      <c r="F23" s="5" t="s">
        <v>62</v>
      </c>
      <c r="G23" s="12" t="str">
        <f t="shared" si="4"/>
        <v>55858.7034</v>
      </c>
      <c r="H23" s="28">
        <f t="shared" si="5"/>
        <v>74782.5</v>
      </c>
      <c r="I23" s="46" t="s">
        <v>119</v>
      </c>
      <c r="J23" s="47" t="s">
        <v>120</v>
      </c>
      <c r="K23" s="46">
        <v>74782.5</v>
      </c>
      <c r="L23" s="46" t="s">
        <v>121</v>
      </c>
      <c r="M23" s="47" t="s">
        <v>109</v>
      </c>
      <c r="N23" s="47" t="s">
        <v>62</v>
      </c>
      <c r="O23" s="48" t="s">
        <v>114</v>
      </c>
      <c r="P23" s="49" t="s">
        <v>122</v>
      </c>
    </row>
    <row r="24" spans="1:16" ht="12.75" customHeight="1" thickBot="1">
      <c r="A24" s="28" t="str">
        <f t="shared" si="0"/>
        <v>OEJV 0160 </v>
      </c>
      <c r="B24" s="5" t="str">
        <f t="shared" si="1"/>
        <v>I</v>
      </c>
      <c r="C24" s="28">
        <f t="shared" si="2"/>
        <v>56046.500959999998</v>
      </c>
      <c r="D24" s="12" t="str">
        <f t="shared" si="3"/>
        <v>vis</v>
      </c>
      <c r="E24" s="45">
        <f>VLOOKUP(C24,Active!C$21:E$973,3,FALSE)</f>
        <v>75411.091884290348</v>
      </c>
      <c r="F24" s="5" t="s">
        <v>62</v>
      </c>
      <c r="G24" s="12" t="str">
        <f t="shared" si="4"/>
        <v>56046.50096</v>
      </c>
      <c r="H24" s="28">
        <f t="shared" si="5"/>
        <v>75411</v>
      </c>
      <c r="I24" s="46" t="s">
        <v>123</v>
      </c>
      <c r="J24" s="47" t="s">
        <v>124</v>
      </c>
      <c r="K24" s="46">
        <v>75411</v>
      </c>
      <c r="L24" s="46" t="s">
        <v>125</v>
      </c>
      <c r="M24" s="47" t="s">
        <v>109</v>
      </c>
      <c r="N24" s="47" t="s">
        <v>54</v>
      </c>
      <c r="O24" s="48" t="s">
        <v>126</v>
      </c>
      <c r="P24" s="49" t="s">
        <v>127</v>
      </c>
    </row>
    <row r="25" spans="1:16" ht="12.75" customHeight="1" thickBot="1">
      <c r="A25" s="28" t="str">
        <f t="shared" si="0"/>
        <v>BAVM 212 </v>
      </c>
      <c r="B25" s="5" t="str">
        <f t="shared" si="1"/>
        <v>I</v>
      </c>
      <c r="C25" s="28">
        <f t="shared" si="2"/>
        <v>55049.404699999999</v>
      </c>
      <c r="D25" s="12" t="str">
        <f t="shared" si="3"/>
        <v>vis</v>
      </c>
      <c r="E25" s="45">
        <f>VLOOKUP(C25,Active!C$21:E$973,3,FALSE)</f>
        <v>72074.104752204104</v>
      </c>
      <c r="F25" s="5" t="s">
        <v>62</v>
      </c>
      <c r="G25" s="12" t="str">
        <f t="shared" si="4"/>
        <v>55049.4047</v>
      </c>
      <c r="H25" s="28">
        <f t="shared" si="5"/>
        <v>72074</v>
      </c>
      <c r="I25" s="46" t="s">
        <v>106</v>
      </c>
      <c r="J25" s="47" t="s">
        <v>107</v>
      </c>
      <c r="K25" s="46">
        <v>72074</v>
      </c>
      <c r="L25" s="46" t="s">
        <v>108</v>
      </c>
      <c r="M25" s="47" t="s">
        <v>109</v>
      </c>
      <c r="N25" s="47" t="s">
        <v>77</v>
      </c>
      <c r="O25" s="48" t="s">
        <v>110</v>
      </c>
      <c r="P25" s="49" t="s">
        <v>111</v>
      </c>
    </row>
    <row r="26" spans="1:16">
      <c r="B26" s="5"/>
      <c r="E26" s="45"/>
      <c r="F26" s="5"/>
    </row>
    <row r="27" spans="1:16">
      <c r="B27" s="5"/>
      <c r="E27" s="45"/>
      <c r="F27" s="5"/>
    </row>
    <row r="28" spans="1:16">
      <c r="B28" s="5"/>
      <c r="E28" s="45"/>
      <c r="F28" s="5"/>
    </row>
    <row r="29" spans="1:16">
      <c r="B29" s="5"/>
      <c r="E29" s="45"/>
      <c r="F29" s="5"/>
    </row>
    <row r="30" spans="1:16">
      <c r="B30" s="5"/>
      <c r="E30" s="45"/>
      <c r="F30" s="5"/>
    </row>
    <row r="31" spans="1:16">
      <c r="B31" s="5"/>
      <c r="E31" s="45"/>
      <c r="F31" s="5"/>
    </row>
    <row r="32" spans="1:16">
      <c r="B32" s="5"/>
      <c r="E32" s="45"/>
      <c r="F32" s="5"/>
    </row>
    <row r="33" spans="2:6">
      <c r="B33" s="5"/>
      <c r="E33" s="45"/>
      <c r="F33" s="5"/>
    </row>
    <row r="34" spans="2:6">
      <c r="B34" s="5"/>
      <c r="E34" s="45"/>
      <c r="F34" s="5"/>
    </row>
    <row r="35" spans="2:6">
      <c r="B35" s="5"/>
      <c r="E35" s="45"/>
      <c r="F35" s="5"/>
    </row>
    <row r="36" spans="2:6">
      <c r="B36" s="5"/>
      <c r="E36" s="45"/>
      <c r="F36" s="5"/>
    </row>
    <row r="37" spans="2:6">
      <c r="B37" s="5"/>
      <c r="E37" s="45"/>
      <c r="F37" s="5"/>
    </row>
    <row r="38" spans="2:6">
      <c r="B38" s="5"/>
      <c r="E38" s="45"/>
      <c r="F38" s="5"/>
    </row>
    <row r="39" spans="2:6">
      <c r="B39" s="5"/>
      <c r="E39" s="45"/>
      <c r="F39" s="5"/>
    </row>
    <row r="40" spans="2:6">
      <c r="B40" s="5"/>
      <c r="E40" s="45"/>
      <c r="F40" s="5"/>
    </row>
    <row r="41" spans="2:6">
      <c r="B41" s="5"/>
      <c r="E41" s="45"/>
      <c r="F41" s="5"/>
    </row>
    <row r="42" spans="2:6">
      <c r="B42" s="5"/>
      <c r="E42" s="45"/>
      <c r="F42" s="5"/>
    </row>
    <row r="43" spans="2:6">
      <c r="B43" s="5"/>
      <c r="E43" s="45"/>
      <c r="F43" s="5"/>
    </row>
    <row r="44" spans="2:6">
      <c r="B44" s="5"/>
      <c r="E44" s="45"/>
      <c r="F44" s="5"/>
    </row>
    <row r="45" spans="2:6">
      <c r="B45" s="5"/>
      <c r="E45" s="45"/>
      <c r="F45" s="5"/>
    </row>
    <row r="46" spans="2:6">
      <c r="B46" s="5"/>
      <c r="E46" s="45"/>
      <c r="F46" s="5"/>
    </row>
    <row r="47" spans="2:6">
      <c r="B47" s="5"/>
      <c r="E47" s="45"/>
      <c r="F47" s="5"/>
    </row>
    <row r="48" spans="2:6">
      <c r="B48" s="5"/>
      <c r="E48" s="45"/>
      <c r="F48" s="5"/>
    </row>
    <row r="49" spans="2:6">
      <c r="B49" s="5"/>
      <c r="E49" s="45"/>
      <c r="F49" s="5"/>
    </row>
    <row r="50" spans="2:6">
      <c r="B50" s="5"/>
      <c r="E50" s="45"/>
      <c r="F50" s="5"/>
    </row>
    <row r="51" spans="2:6">
      <c r="B51" s="5"/>
      <c r="E51" s="45"/>
      <c r="F51" s="5"/>
    </row>
    <row r="52" spans="2:6">
      <c r="B52" s="5"/>
      <c r="E52" s="4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</sheetData>
  <phoneticPr fontId="7" type="noConversion"/>
  <hyperlinks>
    <hyperlink ref="P11" r:id="rId1" display="http://www.konkoly.hu/cgi-bin/IBVS?5263"/>
    <hyperlink ref="P12" r:id="rId2" display="http://www.konkoly.hu/cgi-bin/IBVS?5263"/>
    <hyperlink ref="P13" r:id="rId3" display="http://www.bav-astro.de/sfs/BAVM_link.php?BAVMnr=152"/>
    <hyperlink ref="P14" r:id="rId4" display="http://www.konkoly.hu/cgi-bin/IBVS?5287"/>
    <hyperlink ref="P15" r:id="rId5" display="http://www.bav-astro.de/sfs/BAVM_link.php?BAVMnr=152"/>
    <hyperlink ref="P16" r:id="rId6" display="http://www.bav-astro.de/sfs/BAVM_link.php?BAVMnr=152"/>
    <hyperlink ref="P17" r:id="rId7" display="http://www.konkoly.hu/cgi-bin/IBVS?5690"/>
    <hyperlink ref="P18" r:id="rId8" display="http://www.konkoly.hu/cgi-bin/IBVS?5690"/>
    <hyperlink ref="P19" r:id="rId9" display="http://www.konkoly.hu/cgi-bin/IBVS?5690"/>
    <hyperlink ref="P20" r:id="rId10" display="http://www.konkoly.hu/cgi-bin/IBVS?5677"/>
    <hyperlink ref="P25" r:id="rId11" display="http://www.bav-astro.de/sfs/BAVM_link.php?BAVMnr=212"/>
    <hyperlink ref="P21" r:id="rId12" display="http://www.konkoly.hu/cgi-bin/IBVS?5920"/>
    <hyperlink ref="P22" r:id="rId13" display="http://www.konkoly.hu/cgi-bin/IBVS?5920"/>
    <hyperlink ref="P23" r:id="rId14" display="http://www.konkoly.hu/cgi-bin/IBVS?6011"/>
    <hyperlink ref="P24" r:id="rId1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2024-02-17T02:50:19Z</dcterms:modified>
</cp:coreProperties>
</file>