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22E58B9-CFD8-4E99-B5B4-D8CFA5808A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0" i="1" l="1"/>
  <c r="Q38" i="1"/>
  <c r="Q39" i="1"/>
  <c r="Q37" i="1"/>
  <c r="D9" i="1"/>
  <c r="C9" i="1"/>
  <c r="Q32" i="1"/>
  <c r="Q31" i="1"/>
  <c r="Q28" i="1"/>
  <c r="Q27" i="1"/>
  <c r="Q26" i="1"/>
  <c r="Q25" i="1"/>
  <c r="Q24" i="1"/>
  <c r="Q22" i="1"/>
  <c r="Q21" i="1"/>
  <c r="G25" i="2"/>
  <c r="C25" i="2"/>
  <c r="G15" i="2"/>
  <c r="C15" i="2"/>
  <c r="G14" i="2"/>
  <c r="C14" i="2"/>
  <c r="E14" i="2"/>
  <c r="G13" i="2"/>
  <c r="C13" i="2"/>
  <c r="G24" i="2"/>
  <c r="C24" i="2"/>
  <c r="G23" i="2"/>
  <c r="C23" i="2"/>
  <c r="G12" i="2"/>
  <c r="C12" i="2"/>
  <c r="E12" i="2"/>
  <c r="G11" i="2"/>
  <c r="C11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E16" i="2"/>
  <c r="H25" i="2"/>
  <c r="B25" i="2"/>
  <c r="D25" i="2"/>
  <c r="A25" i="2"/>
  <c r="H15" i="2"/>
  <c r="D15" i="2"/>
  <c r="B15" i="2"/>
  <c r="A15" i="2"/>
  <c r="H14" i="2"/>
  <c r="B14" i="2"/>
  <c r="D14" i="2"/>
  <c r="A14" i="2"/>
  <c r="H13" i="2"/>
  <c r="D13" i="2"/>
  <c r="B13" i="2"/>
  <c r="A13" i="2"/>
  <c r="H24" i="2"/>
  <c r="B24" i="2"/>
  <c r="D24" i="2"/>
  <c r="A24" i="2"/>
  <c r="H23" i="2"/>
  <c r="D23" i="2"/>
  <c r="B23" i="2"/>
  <c r="A23" i="2"/>
  <c r="H12" i="2"/>
  <c r="B12" i="2"/>
  <c r="D12" i="2"/>
  <c r="A12" i="2"/>
  <c r="H11" i="2"/>
  <c r="D11" i="2"/>
  <c r="B11" i="2"/>
  <c r="A11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Q36" i="1"/>
  <c r="Q35" i="1"/>
  <c r="Q33" i="1"/>
  <c r="F16" i="1"/>
  <c r="C17" i="1"/>
  <c r="Q34" i="1"/>
  <c r="Q30" i="1"/>
  <c r="C7" i="1"/>
  <c r="E40" i="1"/>
  <c r="F40" i="1"/>
  <c r="C8" i="1"/>
  <c r="E21" i="1"/>
  <c r="F21" i="1"/>
  <c r="G21" i="1"/>
  <c r="H21" i="1"/>
  <c r="Q29" i="1"/>
  <c r="Q23" i="1"/>
  <c r="E33" i="1"/>
  <c r="F33" i="1"/>
  <c r="E30" i="1"/>
  <c r="E35" i="1"/>
  <c r="F35" i="1"/>
  <c r="G35" i="1"/>
  <c r="J35" i="1"/>
  <c r="F30" i="1"/>
  <c r="G30" i="1"/>
  <c r="J30" i="1"/>
  <c r="E25" i="2"/>
  <c r="E11" i="2"/>
  <c r="E19" i="2"/>
  <c r="E15" i="2"/>
  <c r="E29" i="1"/>
  <c r="F29" i="1"/>
  <c r="G29" i="1"/>
  <c r="E25" i="1"/>
  <c r="F25" i="1"/>
  <c r="G25" i="1"/>
  <c r="H25" i="1"/>
  <c r="E28" i="1"/>
  <c r="F28" i="1"/>
  <c r="G28" i="1"/>
  <c r="H28" i="1"/>
  <c r="G33" i="1"/>
  <c r="K33" i="1"/>
  <c r="E36" i="1"/>
  <c r="F36" i="1"/>
  <c r="G36" i="1"/>
  <c r="J36" i="1"/>
  <c r="E39" i="1"/>
  <c r="F39" i="1"/>
  <c r="G39" i="1"/>
  <c r="K39" i="1"/>
  <c r="E27" i="1"/>
  <c r="F27" i="1"/>
  <c r="G27" i="1"/>
  <c r="H27" i="1"/>
  <c r="E23" i="1"/>
  <c r="F23" i="1"/>
  <c r="G23" i="1"/>
  <c r="H23" i="1"/>
  <c r="E37" i="1"/>
  <c r="F37" i="1"/>
  <c r="G37" i="1"/>
  <c r="K37" i="1"/>
  <c r="G40" i="1"/>
  <c r="K40" i="1"/>
  <c r="G32" i="1"/>
  <c r="K32" i="1"/>
  <c r="E26" i="1"/>
  <c r="E24" i="1"/>
  <c r="F24" i="1"/>
  <c r="G24" i="1"/>
  <c r="H24" i="1"/>
  <c r="E31" i="1"/>
  <c r="F31" i="1"/>
  <c r="G31" i="1"/>
  <c r="K31" i="1"/>
  <c r="E34" i="1"/>
  <c r="E38" i="1"/>
  <c r="F38" i="1"/>
  <c r="G38" i="1"/>
  <c r="K38" i="1"/>
  <c r="E32" i="1"/>
  <c r="F32" i="1"/>
  <c r="E22" i="1"/>
  <c r="F22" i="1"/>
  <c r="G22" i="1"/>
  <c r="H22" i="1"/>
  <c r="E17" i="2"/>
  <c r="E22" i="2"/>
  <c r="E21" i="2"/>
  <c r="F26" i="1"/>
  <c r="G26" i="1"/>
  <c r="H26" i="1"/>
  <c r="E20" i="2"/>
  <c r="E18" i="2"/>
  <c r="E24" i="2"/>
  <c r="J29" i="1"/>
  <c r="E23" i="2"/>
  <c r="E13" i="2"/>
  <c r="F34" i="1"/>
  <c r="G34" i="1"/>
  <c r="K34" i="1"/>
  <c r="C11" i="1"/>
  <c r="C12" i="1"/>
  <c r="C16" i="1" l="1"/>
  <c r="D18" i="1" s="1"/>
  <c r="O29" i="1"/>
  <c r="O40" i="1"/>
  <c r="C15" i="1"/>
  <c r="O30" i="1"/>
  <c r="O31" i="1"/>
  <c r="O38" i="1"/>
  <c r="O37" i="1"/>
  <c r="O28" i="1"/>
  <c r="O36" i="1"/>
  <c r="O32" i="1"/>
  <c r="O39" i="1"/>
  <c r="O33" i="1"/>
  <c r="O34" i="1"/>
  <c r="O35" i="1"/>
  <c r="F17" i="1"/>
  <c r="C18" i="1" l="1"/>
  <c r="F18" i="1"/>
  <c r="F19" i="1" s="1"/>
</calcChain>
</file>

<file path=xl/sharedStrings.xml><?xml version="1.0" encoding="utf-8"?>
<sst xmlns="http://schemas.openxmlformats.org/spreadsheetml/2006/main" count="210" uniqueCount="131">
  <si>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</si>
  <si>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</si>
  <si>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</si>
  <si>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</si>
  <si>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</si>
  <si>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</si>
  <si>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</si>
  <si>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</si>
  <si>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</si>
  <si>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</si>
  <si>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</si>
  <si>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</si>
  <si>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</si>
  <si>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</si>
  <si>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</si>
  <si>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</si>
  <si>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</si>
  <si>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</si>
  <si>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</si>
  <si>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</si>
  <si>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</si>
  <si>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</si>
  <si>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</si>
  <si>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</si>
  <si>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</si>
  <si>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</si>
  <si>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</si>
  <si>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</si>
  <si>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5296</t>
  </si>
  <si>
    <t>EB/KE</t>
  </si>
  <si>
    <t>LZ Lac / GSC 03986-01397</t>
  </si>
  <si>
    <t>IBVS 5731</t>
  </si>
  <si>
    <t>IBVS 5920</t>
  </si>
  <si>
    <t>I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</si>
  <si>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</si>
  <si>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</si>
  <si>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</si>
  <si>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</si>
  <si>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</si>
  <si>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</si>
  <si>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</si>
  <si>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Add cycle</t>
  </si>
  <si>
    <t>Old Cycle</t>
  </si>
  <si>
    <t>OEJV 0137</t>
  </si>
  <si>
    <t>IBVS 5959</t>
  </si>
  <si>
    <t>II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</si>
  <si>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</si>
  <si>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</si>
  <si>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</si>
  <si>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</si>
  <si>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</si>
  <si>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</si>
  <si>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</si>
  <si>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</si>
  <si>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</si>
  <si>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</si>
  <si>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</si>
  <si>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</si>
  <si>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2433062.581 </t>
  </si>
  <si>
    <t> 26.05.1949 01:56 </t>
  </si>
  <si>
    <t> 0.006 </t>
  </si>
  <si>
    <t>P </t>
  </si>
  <si>
    <t> Miller &amp; Wachmann </t>
  </si>
  <si>
    <t> RIA 8.231 </t>
  </si>
  <si>
    <t>2433206.398 </t>
  </si>
  <si>
    <t> 16.10.1949 21:33 </t>
  </si>
  <si>
    <t> -0.008 </t>
  </si>
  <si>
    <t>2433481.568 </t>
  </si>
  <si>
    <t> 19.07.1950 01:37 </t>
  </si>
  <si>
    <t> 0.008 </t>
  </si>
  <si>
    <t>2433656.659 </t>
  </si>
  <si>
    <t> 10.01.1951 03:48 </t>
  </si>
  <si>
    <t> 0.001 </t>
  </si>
  <si>
    <t>2434070.642 </t>
  </si>
  <si>
    <t> 28.02.1952 03:24 </t>
  </si>
  <si>
    <t> 0.002 </t>
  </si>
  <si>
    <t>2434712.243 </t>
  </si>
  <si>
    <t> 30.11.1953 17:49 </t>
  </si>
  <si>
    <t> -0.006 </t>
  </si>
  <si>
    <t>2435336.352 </t>
  </si>
  <si>
    <t> 16.08.1955 20:26 </t>
  </si>
  <si>
    <t> 0.003 </t>
  </si>
  <si>
    <t>2452150.4223 </t>
  </si>
  <si>
    <t> 28.08.2001 22:08 </t>
  </si>
  <si>
    <t> -0.3470 </t>
  </si>
  <si>
    <t>E </t>
  </si>
  <si>
    <t>o</t>
  </si>
  <si>
    <t> F.Agerer </t>
  </si>
  <si>
    <t>BAVM 152 </t>
  </si>
  <si>
    <t>2453614.3853 </t>
  </si>
  <si>
    <t> 31.08.2005 21:14 </t>
  </si>
  <si>
    <t> 0.2961 </t>
  </si>
  <si>
    <t>C </t>
  </si>
  <si>
    <t>-I</t>
  </si>
  <si>
    <t> Agerer </t>
  </si>
  <si>
    <t>BAVM 178 </t>
  </si>
  <si>
    <t>2455051.4639 </t>
  </si>
  <si>
    <t> 07.08.2009 23:08 </t>
  </si>
  <si>
    <t>17246</t>
  </si>
  <si>
    <t> 0.3196 </t>
  </si>
  <si>
    <t>BAVM 212 </t>
  </si>
  <si>
    <t>2455071.4756 </t>
  </si>
  <si>
    <t> 27.08.2009 23:24 </t>
  </si>
  <si>
    <t>17262</t>
  </si>
  <si>
    <t> 0.3201 </t>
  </si>
  <si>
    <t>R</t>
  </si>
  <si>
    <t> R.Ehrenberger </t>
  </si>
  <si>
    <t>OEJV 0137 </t>
  </si>
  <si>
    <t>2455127.755 </t>
  </si>
  <si>
    <t> 23.10.2009 06:07 </t>
  </si>
  <si>
    <t>17307</t>
  </si>
  <si>
    <t> 0.318 </t>
  </si>
  <si>
    <t> R.Diethelm </t>
  </si>
  <si>
    <t>IBVS 5920 </t>
  </si>
  <si>
    <t>2455358.5161 </t>
  </si>
  <si>
    <t> 11.06.2010 00:23 </t>
  </si>
  <si>
    <t>17492</t>
  </si>
  <si>
    <t> -0.3005 </t>
  </si>
  <si>
    <t>BAVM 214 </t>
  </si>
  <si>
    <t>2455480.4654 </t>
  </si>
  <si>
    <t> 10.10.2010 23:10 </t>
  </si>
  <si>
    <t>17589</t>
  </si>
  <si>
    <t> 0.3308 </t>
  </si>
  <si>
    <t>BAVM 215 </t>
  </si>
  <si>
    <t>2455849.4313 </t>
  </si>
  <si>
    <t> 14.10.2011 22:21 </t>
  </si>
  <si>
    <t>17884.5</t>
  </si>
  <si>
    <t> -0.2854 </t>
  </si>
  <si>
    <t>BAVM 225 </t>
  </si>
  <si>
    <t>IBVS 6196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</si>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</sst>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2" fillId="24" borderId="0" xfId="0" applyFont="1" applyFill="1" applyAlignment="1"/>
    <xf numFmtId="0" fontId="9" fillId="0" borderId="0" xfId="0" applyNumberFormat="1" applyFont="1" applyAlignment="1">
      <alignment horizontal="left" vertic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8" fillId="25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6" fillId="0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LZ Lac - O-C Diagr.</a:t>
            </a:r>
          </a:p>
        </c:rich>
      </c:tx>
      <c:layout>
        <c:manualLayout>
          <c:xMode val="edge"/>
          <c:yMode val="edge"/>
          <c:x val="0.3812604361449972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-335</c:v>
                </c:pt>
                <c:pt idx="1">
                  <c:v>-220</c:v>
                </c:pt>
                <c:pt idx="2">
                  <c:v>0</c:v>
                </c:pt>
                <c:pt idx="3">
                  <c:v>0</c:v>
                </c:pt>
                <c:pt idx="4">
                  <c:v>140</c:v>
                </c:pt>
                <c:pt idx="5">
                  <c:v>471</c:v>
                </c:pt>
                <c:pt idx="6">
                  <c:v>984</c:v>
                </c:pt>
                <c:pt idx="7">
                  <c:v>1483</c:v>
                </c:pt>
                <c:pt idx="8">
                  <c:v>14926.5</c:v>
                </c:pt>
                <c:pt idx="9">
                  <c:v>16097</c:v>
                </c:pt>
                <c:pt idx="10">
                  <c:v>17246</c:v>
                </c:pt>
                <c:pt idx="11">
                  <c:v>17262</c:v>
                </c:pt>
                <c:pt idx="12">
                  <c:v>17262</c:v>
                </c:pt>
                <c:pt idx="13">
                  <c:v>17307</c:v>
                </c:pt>
                <c:pt idx="14">
                  <c:v>17491.5</c:v>
                </c:pt>
                <c:pt idx="15">
                  <c:v>17589</c:v>
                </c:pt>
                <c:pt idx="16">
                  <c:v>17884</c:v>
                </c:pt>
                <c:pt idx="17">
                  <c:v>19080</c:v>
                </c:pt>
                <c:pt idx="18">
                  <c:v>19074.5</c:v>
                </c:pt>
                <c:pt idx="19">
                  <c:v>19529.5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5.7345000022905879E-3</c:v>
                </c:pt>
                <c:pt idx="1">
                  <c:v>-7.8459999931510538E-3</c:v>
                </c:pt>
                <c:pt idx="2">
                  <c:v>0</c:v>
                </c:pt>
                <c:pt idx="3">
                  <c:v>8.0000000016298145E-3</c:v>
                </c:pt>
                <c:pt idx="4">
                  <c:v>9.01999999769032E-4</c:v>
                </c:pt>
                <c:pt idx="5">
                  <c:v>1.9702999998116866E-3</c:v>
                </c:pt>
                <c:pt idx="6">
                  <c:v>-6.4887999978964217E-3</c:v>
                </c:pt>
                <c:pt idx="7">
                  <c:v>2.8619000004255213E-3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E3-4CC1-92F0-2254B7763E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-335</c:v>
                </c:pt>
                <c:pt idx="1">
                  <c:v>-220</c:v>
                </c:pt>
                <c:pt idx="2">
                  <c:v>0</c:v>
                </c:pt>
                <c:pt idx="3">
                  <c:v>0</c:v>
                </c:pt>
                <c:pt idx="4">
                  <c:v>140</c:v>
                </c:pt>
                <c:pt idx="5">
                  <c:v>471</c:v>
                </c:pt>
                <c:pt idx="6">
                  <c:v>984</c:v>
                </c:pt>
                <c:pt idx="7">
                  <c:v>1483</c:v>
                </c:pt>
                <c:pt idx="8">
                  <c:v>14926.5</c:v>
                </c:pt>
                <c:pt idx="9">
                  <c:v>16097</c:v>
                </c:pt>
                <c:pt idx="10">
                  <c:v>17246</c:v>
                </c:pt>
                <c:pt idx="11">
                  <c:v>17262</c:v>
                </c:pt>
                <c:pt idx="12">
                  <c:v>17262</c:v>
                </c:pt>
                <c:pt idx="13">
                  <c:v>17307</c:v>
                </c:pt>
                <c:pt idx="14">
                  <c:v>17491.5</c:v>
                </c:pt>
                <c:pt idx="15">
                  <c:v>17589</c:v>
                </c:pt>
                <c:pt idx="16">
                  <c:v>17884</c:v>
                </c:pt>
                <c:pt idx="17">
                  <c:v>19080</c:v>
                </c:pt>
                <c:pt idx="18">
                  <c:v>19074.5</c:v>
                </c:pt>
                <c:pt idx="19">
                  <c:v>19529.5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E3-4CC1-92F0-2254B7763E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-335</c:v>
                </c:pt>
                <c:pt idx="1">
                  <c:v>-220</c:v>
                </c:pt>
                <c:pt idx="2">
                  <c:v>0</c:v>
                </c:pt>
                <c:pt idx="3">
                  <c:v>0</c:v>
                </c:pt>
                <c:pt idx="4">
                  <c:v>140</c:v>
                </c:pt>
                <c:pt idx="5">
                  <c:v>471</c:v>
                </c:pt>
                <c:pt idx="6">
                  <c:v>984</c:v>
                </c:pt>
                <c:pt idx="7">
                  <c:v>1483</c:v>
                </c:pt>
                <c:pt idx="8">
                  <c:v>14926.5</c:v>
                </c:pt>
                <c:pt idx="9">
                  <c:v>16097</c:v>
                </c:pt>
                <c:pt idx="10">
                  <c:v>17246</c:v>
                </c:pt>
                <c:pt idx="11">
                  <c:v>17262</c:v>
                </c:pt>
                <c:pt idx="12">
                  <c:v>17262</c:v>
                </c:pt>
                <c:pt idx="13">
                  <c:v>17307</c:v>
                </c:pt>
                <c:pt idx="14">
                  <c:v>17491.5</c:v>
                </c:pt>
                <c:pt idx="15">
                  <c:v>17589</c:v>
                </c:pt>
                <c:pt idx="16">
                  <c:v>17884</c:v>
                </c:pt>
                <c:pt idx="17">
                  <c:v>19080</c:v>
                </c:pt>
                <c:pt idx="18">
                  <c:v>19074.5</c:v>
                </c:pt>
                <c:pt idx="19">
                  <c:v>19529.5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8">
                  <c:v>0.27830144999461481</c:v>
                </c:pt>
                <c:pt idx="9">
                  <c:v>0.2961321000038879</c:v>
                </c:pt>
                <c:pt idx="14">
                  <c:v>0.32480594999651657</c:v>
                </c:pt>
                <c:pt idx="15">
                  <c:v>0.33078770000429358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E3-4CC1-92F0-2254B7763E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-335</c:v>
                </c:pt>
                <c:pt idx="1">
                  <c:v>-220</c:v>
                </c:pt>
                <c:pt idx="2">
                  <c:v>0</c:v>
                </c:pt>
                <c:pt idx="3">
                  <c:v>0</c:v>
                </c:pt>
                <c:pt idx="4">
                  <c:v>140</c:v>
                </c:pt>
                <c:pt idx="5">
                  <c:v>471</c:v>
                </c:pt>
                <c:pt idx="6">
                  <c:v>984</c:v>
                </c:pt>
                <c:pt idx="7">
                  <c:v>1483</c:v>
                </c:pt>
                <c:pt idx="8">
                  <c:v>14926.5</c:v>
                </c:pt>
                <c:pt idx="9">
                  <c:v>16097</c:v>
                </c:pt>
                <c:pt idx="10">
                  <c:v>17246</c:v>
                </c:pt>
                <c:pt idx="11">
                  <c:v>17262</c:v>
                </c:pt>
                <c:pt idx="12">
                  <c:v>17262</c:v>
                </c:pt>
                <c:pt idx="13">
                  <c:v>17307</c:v>
                </c:pt>
                <c:pt idx="14">
                  <c:v>17491.5</c:v>
                </c:pt>
                <c:pt idx="15">
                  <c:v>17589</c:v>
                </c:pt>
                <c:pt idx="16">
                  <c:v>17884</c:v>
                </c:pt>
                <c:pt idx="17">
                  <c:v>19080</c:v>
                </c:pt>
                <c:pt idx="18">
                  <c:v>19074.5</c:v>
                </c:pt>
                <c:pt idx="19">
                  <c:v>19529.5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0">
                  <c:v>0.319627800003218</c:v>
                </c:pt>
                <c:pt idx="11">
                  <c:v>0.32011659999989206</c:v>
                </c:pt>
                <c:pt idx="12">
                  <c:v>0.32012660000327742</c:v>
                </c:pt>
                <c:pt idx="13">
                  <c:v>0.31798509999498492</c:v>
                </c:pt>
                <c:pt idx="16">
                  <c:v>0.33998119999887422</c:v>
                </c:pt>
                <c:pt idx="17">
                  <c:v>0.36384399999951711</c:v>
                </c:pt>
                <c:pt idx="18">
                  <c:v>0.36119784999755211</c:v>
                </c:pt>
                <c:pt idx="19">
                  <c:v>0.36002935015130788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E3-4CC1-92F0-2254B7763E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-335</c:v>
                </c:pt>
                <c:pt idx="1">
                  <c:v>-220</c:v>
                </c:pt>
                <c:pt idx="2">
                  <c:v>0</c:v>
                </c:pt>
                <c:pt idx="3">
                  <c:v>0</c:v>
                </c:pt>
                <c:pt idx="4">
                  <c:v>140</c:v>
                </c:pt>
                <c:pt idx="5">
                  <c:v>471</c:v>
                </c:pt>
                <c:pt idx="6">
                  <c:v>984</c:v>
                </c:pt>
                <c:pt idx="7">
                  <c:v>1483</c:v>
                </c:pt>
                <c:pt idx="8">
                  <c:v>14926.5</c:v>
                </c:pt>
                <c:pt idx="9">
                  <c:v>16097</c:v>
                </c:pt>
                <c:pt idx="10">
                  <c:v>17246</c:v>
                </c:pt>
                <c:pt idx="11">
                  <c:v>17262</c:v>
                </c:pt>
                <c:pt idx="12">
                  <c:v>17262</c:v>
                </c:pt>
                <c:pt idx="13">
                  <c:v>17307</c:v>
                </c:pt>
                <c:pt idx="14">
                  <c:v>17491.5</c:v>
                </c:pt>
                <c:pt idx="15">
                  <c:v>17589</c:v>
                </c:pt>
                <c:pt idx="16">
                  <c:v>17884</c:v>
                </c:pt>
                <c:pt idx="17">
                  <c:v>19080</c:v>
                </c:pt>
                <c:pt idx="18">
                  <c:v>19074.5</c:v>
                </c:pt>
                <c:pt idx="19">
                  <c:v>19529.5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E3-4CC1-92F0-2254B7763E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-335</c:v>
                </c:pt>
                <c:pt idx="1">
                  <c:v>-220</c:v>
                </c:pt>
                <c:pt idx="2">
                  <c:v>0</c:v>
                </c:pt>
                <c:pt idx="3">
                  <c:v>0</c:v>
                </c:pt>
                <c:pt idx="4">
                  <c:v>140</c:v>
                </c:pt>
                <c:pt idx="5">
                  <c:v>471</c:v>
                </c:pt>
                <c:pt idx="6">
                  <c:v>984</c:v>
                </c:pt>
                <c:pt idx="7">
                  <c:v>1483</c:v>
                </c:pt>
                <c:pt idx="8">
                  <c:v>14926.5</c:v>
                </c:pt>
                <c:pt idx="9">
                  <c:v>16097</c:v>
                </c:pt>
                <c:pt idx="10">
                  <c:v>17246</c:v>
                </c:pt>
                <c:pt idx="11">
                  <c:v>17262</c:v>
                </c:pt>
                <c:pt idx="12">
                  <c:v>17262</c:v>
                </c:pt>
                <c:pt idx="13">
                  <c:v>17307</c:v>
                </c:pt>
                <c:pt idx="14">
                  <c:v>17491.5</c:v>
                </c:pt>
                <c:pt idx="15">
                  <c:v>17589</c:v>
                </c:pt>
                <c:pt idx="16">
                  <c:v>17884</c:v>
                </c:pt>
                <c:pt idx="17">
                  <c:v>19080</c:v>
                </c:pt>
                <c:pt idx="18">
                  <c:v>19074.5</c:v>
                </c:pt>
                <c:pt idx="19">
                  <c:v>19529.5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E3-4CC1-92F0-2254B7763E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8">
                    <c:v>1.1000000000000001E-3</c:v>
                  </c:pt>
                  <c:pt idx="9">
                    <c:v>1.9E-3</c:v>
                  </c:pt>
                  <c:pt idx="12">
                    <c:v>5.9999999999999995E-4</c:v>
                  </c:pt>
                  <c:pt idx="13">
                    <c:v>1E-3</c:v>
                  </c:pt>
                  <c:pt idx="14">
                    <c:v>3.3999999999999998E-3</c:v>
                  </c:pt>
                  <c:pt idx="15">
                    <c:v>4.8999999999999998E-3</c:v>
                  </c:pt>
                  <c:pt idx="17">
                    <c:v>3.0999999999999999E-3</c:v>
                  </c:pt>
                  <c:pt idx="18">
                    <c:v>4.5999999999999999E-3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-335</c:v>
                </c:pt>
                <c:pt idx="1">
                  <c:v>-220</c:v>
                </c:pt>
                <c:pt idx="2">
                  <c:v>0</c:v>
                </c:pt>
                <c:pt idx="3">
                  <c:v>0</c:v>
                </c:pt>
                <c:pt idx="4">
                  <c:v>140</c:v>
                </c:pt>
                <c:pt idx="5">
                  <c:v>471</c:v>
                </c:pt>
                <c:pt idx="6">
                  <c:v>984</c:v>
                </c:pt>
                <c:pt idx="7">
                  <c:v>1483</c:v>
                </c:pt>
                <c:pt idx="8">
                  <c:v>14926.5</c:v>
                </c:pt>
                <c:pt idx="9">
                  <c:v>16097</c:v>
                </c:pt>
                <c:pt idx="10">
                  <c:v>17246</c:v>
                </c:pt>
                <c:pt idx="11">
                  <c:v>17262</c:v>
                </c:pt>
                <c:pt idx="12">
                  <c:v>17262</c:v>
                </c:pt>
                <c:pt idx="13">
                  <c:v>17307</c:v>
                </c:pt>
                <c:pt idx="14">
                  <c:v>17491.5</c:v>
                </c:pt>
                <c:pt idx="15">
                  <c:v>17589</c:v>
                </c:pt>
                <c:pt idx="16">
                  <c:v>17884</c:v>
                </c:pt>
                <c:pt idx="17">
                  <c:v>19080</c:v>
                </c:pt>
                <c:pt idx="18">
                  <c:v>19074.5</c:v>
                </c:pt>
                <c:pt idx="19">
                  <c:v>19529.5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E3-4CC1-92F0-2254B7763E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-335</c:v>
                </c:pt>
                <c:pt idx="1">
                  <c:v>-220</c:v>
                </c:pt>
                <c:pt idx="2">
                  <c:v>0</c:v>
                </c:pt>
                <c:pt idx="3">
                  <c:v>0</c:v>
                </c:pt>
                <c:pt idx="4">
                  <c:v>140</c:v>
                </c:pt>
                <c:pt idx="5">
                  <c:v>471</c:v>
                </c:pt>
                <c:pt idx="6">
                  <c:v>984</c:v>
                </c:pt>
                <c:pt idx="7">
                  <c:v>1483</c:v>
                </c:pt>
                <c:pt idx="8">
                  <c:v>14926.5</c:v>
                </c:pt>
                <c:pt idx="9">
                  <c:v>16097</c:v>
                </c:pt>
                <c:pt idx="10">
                  <c:v>17246</c:v>
                </c:pt>
                <c:pt idx="11">
                  <c:v>17262</c:v>
                </c:pt>
                <c:pt idx="12">
                  <c:v>17262</c:v>
                </c:pt>
                <c:pt idx="13">
                  <c:v>17307</c:v>
                </c:pt>
                <c:pt idx="14">
                  <c:v>17491.5</c:v>
                </c:pt>
                <c:pt idx="15">
                  <c:v>17589</c:v>
                </c:pt>
                <c:pt idx="16">
                  <c:v>17884</c:v>
                </c:pt>
                <c:pt idx="17">
                  <c:v>19080</c:v>
                </c:pt>
                <c:pt idx="18">
                  <c:v>19074.5</c:v>
                </c:pt>
                <c:pt idx="19">
                  <c:v>19529.5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7">
                  <c:v>6.8650977799833771E-3</c:v>
                </c:pt>
                <c:pt idx="8">
                  <c:v>0.27514250098634091</c:v>
                </c:pt>
                <c:pt idx="9">
                  <c:v>0.29850090470955593</c:v>
                </c:pt>
                <c:pt idx="10">
                  <c:v>0.32143025616446763</c:v>
                </c:pt>
                <c:pt idx="11">
                  <c:v>0.32174955087576318</c:v>
                </c:pt>
                <c:pt idx="12">
                  <c:v>0.32174955087576318</c:v>
                </c:pt>
                <c:pt idx="13">
                  <c:v>0.32264756725128191</c:v>
                </c:pt>
                <c:pt idx="14">
                  <c:v>0.32632943439090867</c:v>
                </c:pt>
                <c:pt idx="15">
                  <c:v>0.32827513653786594</c:v>
                </c:pt>
                <c:pt idx="16">
                  <c:v>0.33416213277737766</c:v>
                </c:pt>
                <c:pt idx="17">
                  <c:v>0.35802941244671999</c:v>
                </c:pt>
                <c:pt idx="18">
                  <c:v>0.35791965488971211</c:v>
                </c:pt>
                <c:pt idx="19">
                  <c:v>0.36699959824217931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E3-4CC1-92F0-2254B7763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185280"/>
        <c:axId val="1"/>
      </c:scatterChart>
      <c:valAx>
        <c:axId val="749185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185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4734246668278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16</xdr:col>
      <xdr:colOff>342900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CAC649B-43BB-1DEA-6C36-A97B646BB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konkoly.hu/cgi-bin/IBVS?5920" TargetMode="External"/><Relationship Id="rId4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30</v>
      </c>
    </row>
    <row r="2" spans="1:6" x14ac:dyDescent="0.2">
      <c r="A2" t="s">
        <v>24</v>
      </c>
      <c r="B2" s="10" t="s">
        <v>29</v>
      </c>
    </row>
    <row r="4" spans="1:6" ht="14.25" thickTop="1" thickBot="1" x14ac:dyDescent="0.25">
      <c r="A4" s="7" t="s">
        <v>0</v>
      </c>
      <c r="C4" s="3">
        <v>33481.56</v>
      </c>
      <c r="D4" s="4">
        <v>1.2507007000000001</v>
      </c>
    </row>
    <row r="5" spans="1:6" ht="13.5" thickTop="1" x14ac:dyDescent="0.2">
      <c r="A5" s="17" t="s">
        <v>34</v>
      </c>
      <c r="B5" s="10"/>
      <c r="C5" s="18">
        <v>-9.5</v>
      </c>
      <c r="D5" s="10" t="s">
        <v>35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33481.56</v>
      </c>
    </row>
    <row r="8" spans="1:6" x14ac:dyDescent="0.2">
      <c r="A8" t="s">
        <v>3</v>
      </c>
      <c r="C8">
        <f>+D4</f>
        <v>1.2507007000000001</v>
      </c>
    </row>
    <row r="9" spans="1:6" x14ac:dyDescent="0.2">
      <c r="A9" s="31" t="s">
        <v>40</v>
      </c>
      <c r="B9" s="32">
        <v>29</v>
      </c>
      <c r="C9" s="20" t="str">
        <f>"F"&amp;B9</f>
        <v>F29</v>
      </c>
      <c r="D9" s="21" t="str">
        <f>"G"&amp;B9</f>
        <v>G29</v>
      </c>
    </row>
    <row r="10" spans="1:6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6" x14ac:dyDescent="0.2">
      <c r="A11" s="10" t="s">
        <v>16</v>
      </c>
      <c r="B11" s="10"/>
      <c r="C11" s="19">
        <f ca="1">INTERCEPT(INDIRECT($D$9):G992,INDIRECT($C$9):F992)</f>
        <v>-2.2729530773222872E-2</v>
      </c>
      <c r="D11" s="5"/>
      <c r="E11" s="10"/>
    </row>
    <row r="12" spans="1:6" x14ac:dyDescent="0.2">
      <c r="A12" s="10" t="s">
        <v>17</v>
      </c>
      <c r="B12" s="10"/>
      <c r="C12" s="19">
        <f ca="1">SLOPE(INDIRECT($D$9):G992,INDIRECT($C$9):F992)</f>
        <v>1.9955919455971847E-5</v>
      </c>
      <c r="D12" s="5"/>
      <c r="E12" s="10"/>
    </row>
    <row r="13" spans="1:6" x14ac:dyDescent="0.2">
      <c r="A13" s="10" t="s">
        <v>19</v>
      </c>
      <c r="B13" s="10"/>
      <c r="C13" s="5" t="s">
        <v>14</v>
      </c>
    </row>
    <row r="14" spans="1:6" x14ac:dyDescent="0.2">
      <c r="A14" s="10"/>
      <c r="B14" s="10"/>
      <c r="C14" s="10"/>
    </row>
    <row r="15" spans="1:6" x14ac:dyDescent="0.2">
      <c r="A15" s="22" t="s">
        <v>18</v>
      </c>
      <c r="B15" s="10"/>
      <c r="C15" s="23">
        <f ca="1">(C7+C11)+(C8+C12)*INT(MAX(F21:F3533))</f>
        <v>57906.86095992029</v>
      </c>
      <c r="E15" s="24" t="s">
        <v>41</v>
      </c>
      <c r="F15" s="18">
        <v>1</v>
      </c>
    </row>
    <row r="16" spans="1:6" x14ac:dyDescent="0.2">
      <c r="A16" s="26" t="s">
        <v>4</v>
      </c>
      <c r="B16" s="10"/>
      <c r="C16" s="27">
        <f ca="1">+C8+C12</f>
        <v>1.2507206559194561</v>
      </c>
      <c r="E16" s="24" t="s">
        <v>36</v>
      </c>
      <c r="F16" s="25">
        <f ca="1">NOW()+15018.5+$C$5/24</f>
        <v>60357.660552893518</v>
      </c>
    </row>
    <row r="17" spans="1:17" ht="13.5" thickBot="1" x14ac:dyDescent="0.25">
      <c r="A17" s="24" t="s">
        <v>38</v>
      </c>
      <c r="B17" s="10"/>
      <c r="C17" s="10">
        <f>COUNT(C21:C2191)</f>
        <v>20</v>
      </c>
      <c r="E17" s="24" t="s">
        <v>42</v>
      </c>
      <c r="F17" s="25">
        <f ca="1">ROUND(2*(F16-$C$7)/$C$8,0)/2+F15</f>
        <v>21490</v>
      </c>
    </row>
    <row r="18" spans="1:17" ht="14.25" thickTop="1" thickBot="1" x14ac:dyDescent="0.25">
      <c r="A18" s="26" t="s">
        <v>5</v>
      </c>
      <c r="B18" s="10"/>
      <c r="C18" s="29">
        <f ca="1">+C15</f>
        <v>57906.86095992029</v>
      </c>
      <c r="D18" s="30">
        <f ca="1">+C16</f>
        <v>1.2507206559194561</v>
      </c>
      <c r="E18" s="24" t="s">
        <v>37</v>
      </c>
      <c r="F18" s="21">
        <f ca="1">ROUND(2*(F16-$C$15)/$C$16,0)/2+F15</f>
        <v>1960.5</v>
      </c>
    </row>
    <row r="19" spans="1:17" ht="13.5" thickTop="1" x14ac:dyDescent="0.2">
      <c r="E19" s="24" t="s">
        <v>39</v>
      </c>
      <c r="F19" s="28">
        <f ca="1">+$C$15+$C$16*F18-15018.5-$C$5/24</f>
        <v>45340.794639183718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54</v>
      </c>
      <c r="I20" s="9" t="s">
        <v>57</v>
      </c>
      <c r="J20" s="9" t="s">
        <v>51</v>
      </c>
      <c r="K20" s="9" t="s">
        <v>49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s="52" t="s">
        <v>63</v>
      </c>
      <c r="B21" s="53" t="s">
        <v>33</v>
      </c>
      <c r="C21" s="52">
        <v>33062.580999999998</v>
      </c>
      <c r="D21" s="5"/>
      <c r="E21">
        <f t="shared" ref="E21:E37" si="0">+(C21-C$7)/C$8</f>
        <v>-334.99541497018379</v>
      </c>
      <c r="F21">
        <f t="shared" ref="F21:F30" si="1">ROUND(2*E21,0)/2</f>
        <v>-335</v>
      </c>
      <c r="G21">
        <f t="shared" ref="G21:G37" si="2">+C21-(C$7+F21*C$8)</f>
        <v>5.7345000022905879E-3</v>
      </c>
      <c r="H21">
        <f t="shared" ref="H21:H28" si="3">+G21</f>
        <v>5.7345000022905879E-3</v>
      </c>
      <c r="Q21" s="2">
        <f t="shared" ref="Q21:Q37" si="4">+C21-15018.5</f>
        <v>18044.080999999998</v>
      </c>
    </row>
    <row r="22" spans="1:17" x14ac:dyDescent="0.2">
      <c r="A22" s="52" t="s">
        <v>63</v>
      </c>
      <c r="B22" s="53" t="s">
        <v>33</v>
      </c>
      <c r="C22" s="52">
        <v>33206.398000000001</v>
      </c>
      <c r="D22" s="5"/>
      <c r="E22">
        <f t="shared" si="0"/>
        <v>-220.00627328344552</v>
      </c>
      <c r="F22">
        <f t="shared" si="1"/>
        <v>-220</v>
      </c>
      <c r="G22">
        <f t="shared" si="2"/>
        <v>-7.8459999931510538E-3</v>
      </c>
      <c r="H22">
        <f t="shared" si="3"/>
        <v>-7.8459999931510538E-3</v>
      </c>
      <c r="Q22" s="2">
        <f t="shared" si="4"/>
        <v>18187.898000000001</v>
      </c>
    </row>
    <row r="23" spans="1:17" x14ac:dyDescent="0.2">
      <c r="A23" t="s">
        <v>12</v>
      </c>
      <c r="C23" s="14">
        <v>33481.56</v>
      </c>
      <c r="D23" s="14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 t="shared" si="3"/>
        <v>0</v>
      </c>
      <c r="Q23" s="2">
        <f t="shared" si="4"/>
        <v>18463.059999999998</v>
      </c>
    </row>
    <row r="24" spans="1:17" x14ac:dyDescent="0.2">
      <c r="A24" s="52" t="s">
        <v>63</v>
      </c>
      <c r="B24" s="53" t="s">
        <v>33</v>
      </c>
      <c r="C24" s="52">
        <v>33481.567999999999</v>
      </c>
      <c r="D24" s="5"/>
      <c r="E24">
        <f t="shared" si="0"/>
        <v>6.3964144272325215E-3</v>
      </c>
      <c r="F24">
        <f t="shared" si="1"/>
        <v>0</v>
      </c>
      <c r="G24">
        <f t="shared" si="2"/>
        <v>8.0000000016298145E-3</v>
      </c>
      <c r="H24">
        <f t="shared" si="3"/>
        <v>8.0000000016298145E-3</v>
      </c>
      <c r="Q24" s="2">
        <f t="shared" si="4"/>
        <v>18463.067999999999</v>
      </c>
    </row>
    <row r="25" spans="1:17" x14ac:dyDescent="0.2">
      <c r="A25" s="52" t="s">
        <v>63</v>
      </c>
      <c r="B25" s="53" t="s">
        <v>33</v>
      </c>
      <c r="C25" s="52">
        <v>33656.659</v>
      </c>
      <c r="D25" s="5"/>
      <c r="E25">
        <f t="shared" si="0"/>
        <v>140.00072119572809</v>
      </c>
      <c r="F25">
        <f t="shared" si="1"/>
        <v>140</v>
      </c>
      <c r="G25">
        <f t="shared" si="2"/>
        <v>9.01999999769032E-4</v>
      </c>
      <c r="H25">
        <f t="shared" si="3"/>
        <v>9.01999999769032E-4</v>
      </c>
      <c r="Q25" s="2">
        <f t="shared" si="4"/>
        <v>18638.159</v>
      </c>
    </row>
    <row r="26" spans="1:17" x14ac:dyDescent="0.2">
      <c r="A26" s="52" t="s">
        <v>63</v>
      </c>
      <c r="B26" s="53" t="s">
        <v>33</v>
      </c>
      <c r="C26" s="52">
        <v>34070.642</v>
      </c>
      <c r="D26" s="5"/>
      <c r="E26">
        <f t="shared" si="0"/>
        <v>471.0015753569196</v>
      </c>
      <c r="F26">
        <f t="shared" si="1"/>
        <v>471</v>
      </c>
      <c r="G26">
        <f t="shared" si="2"/>
        <v>1.9702999998116866E-3</v>
      </c>
      <c r="H26">
        <f t="shared" si="3"/>
        <v>1.9702999998116866E-3</v>
      </c>
      <c r="Q26" s="2">
        <f t="shared" si="4"/>
        <v>19052.142</v>
      </c>
    </row>
    <row r="27" spans="1:17" x14ac:dyDescent="0.2">
      <c r="A27" s="52" t="s">
        <v>63</v>
      </c>
      <c r="B27" s="53" t="s">
        <v>33</v>
      </c>
      <c r="C27" s="52">
        <v>34712.243000000002</v>
      </c>
      <c r="D27" s="5"/>
      <c r="E27">
        <f t="shared" si="0"/>
        <v>983.99481186826267</v>
      </c>
      <c r="F27">
        <f t="shared" si="1"/>
        <v>984</v>
      </c>
      <c r="G27">
        <f t="shared" si="2"/>
        <v>-6.4887999978964217E-3</v>
      </c>
      <c r="H27">
        <f t="shared" si="3"/>
        <v>-6.4887999978964217E-3</v>
      </c>
      <c r="Q27" s="2">
        <f t="shared" si="4"/>
        <v>19693.743000000002</v>
      </c>
    </row>
    <row r="28" spans="1:17" x14ac:dyDescent="0.2">
      <c r="A28" s="52" t="s">
        <v>63</v>
      </c>
      <c r="B28" s="53" t="s">
        <v>33</v>
      </c>
      <c r="C28" s="52">
        <v>35336.351999999999</v>
      </c>
      <c r="D28" s="5"/>
      <c r="E28">
        <f t="shared" si="0"/>
        <v>1483.0022882373066</v>
      </c>
      <c r="F28">
        <f t="shared" si="1"/>
        <v>1483</v>
      </c>
      <c r="G28">
        <f t="shared" si="2"/>
        <v>2.8619000004255213E-3</v>
      </c>
      <c r="H28">
        <f t="shared" si="3"/>
        <v>2.8619000004255213E-3</v>
      </c>
      <c r="O28">
        <f t="shared" ref="O28:O37" ca="1" si="5">+C$11+C$12*$F28</f>
        <v>6.8650977799833771E-3</v>
      </c>
      <c r="Q28" s="2">
        <f t="shared" si="4"/>
        <v>20317.851999999999</v>
      </c>
    </row>
    <row r="29" spans="1:17" x14ac:dyDescent="0.2">
      <c r="A29" s="11" t="s">
        <v>28</v>
      </c>
      <c r="B29" s="12"/>
      <c r="C29" s="16">
        <v>52150.422299999998</v>
      </c>
      <c r="D29" s="16">
        <v>1.1000000000000001E-3</v>
      </c>
      <c r="E29">
        <f t="shared" si="0"/>
        <v>14926.722516426191</v>
      </c>
      <c r="F29">
        <f t="shared" si="1"/>
        <v>14926.5</v>
      </c>
      <c r="G29">
        <f t="shared" si="2"/>
        <v>0.27830144999461481</v>
      </c>
      <c r="J29">
        <f>+G29</f>
        <v>0.27830144999461481</v>
      </c>
      <c r="O29">
        <f t="shared" ca="1" si="5"/>
        <v>0.27514250098634091</v>
      </c>
      <c r="Q29" s="2">
        <f t="shared" si="4"/>
        <v>37131.922299999998</v>
      </c>
    </row>
    <row r="30" spans="1:17" x14ac:dyDescent="0.2">
      <c r="A30" s="10" t="s">
        <v>31</v>
      </c>
      <c r="B30" s="13"/>
      <c r="C30" s="14">
        <v>53614.385300000002</v>
      </c>
      <c r="D30" s="14">
        <v>1.9E-3</v>
      </c>
      <c r="E30">
        <f t="shared" si="0"/>
        <v>16097.236772954555</v>
      </c>
      <c r="F30">
        <f t="shared" si="1"/>
        <v>16097</v>
      </c>
      <c r="G30">
        <f t="shared" si="2"/>
        <v>0.2961321000038879</v>
      </c>
      <c r="J30">
        <f>+G30</f>
        <v>0.2961321000038879</v>
      </c>
      <c r="O30">
        <f t="shared" ca="1" si="5"/>
        <v>0.29850090470955593</v>
      </c>
      <c r="Q30" s="2">
        <f t="shared" si="4"/>
        <v>38595.885300000002</v>
      </c>
    </row>
    <row r="31" spans="1:17" x14ac:dyDescent="0.2">
      <c r="A31" s="52" t="s">
        <v>100</v>
      </c>
      <c r="B31" s="53" t="s">
        <v>33</v>
      </c>
      <c r="C31" s="52">
        <v>55051.463900000002</v>
      </c>
      <c r="D31" s="5"/>
      <c r="E31">
        <f t="shared" si="0"/>
        <v>17246.255558983859</v>
      </c>
      <c r="F31" s="15">
        <f t="shared" ref="F31:F39" si="6">ROUND(2*E31,0)/2-0.5</f>
        <v>17246</v>
      </c>
      <c r="G31">
        <f t="shared" si="2"/>
        <v>0.319627800003218</v>
      </c>
      <c r="K31">
        <f>+G31</f>
        <v>0.319627800003218</v>
      </c>
      <c r="O31">
        <f t="shared" ca="1" si="5"/>
        <v>0.32143025616446763</v>
      </c>
      <c r="Q31" s="2">
        <f t="shared" si="4"/>
        <v>40032.963900000002</v>
      </c>
    </row>
    <row r="32" spans="1:17" x14ac:dyDescent="0.2">
      <c r="A32" s="52" t="s">
        <v>107</v>
      </c>
      <c r="B32" s="53" t="s">
        <v>33</v>
      </c>
      <c r="C32" s="52">
        <v>55071.475599999998</v>
      </c>
      <c r="D32" s="5"/>
      <c r="E32">
        <f t="shared" si="0"/>
        <v>17262.255949804778</v>
      </c>
      <c r="F32" s="15">
        <f t="shared" si="6"/>
        <v>17262</v>
      </c>
      <c r="G32">
        <f t="shared" si="2"/>
        <v>0.32011659999989206</v>
      </c>
      <c r="K32">
        <f>+G32</f>
        <v>0.32011659999989206</v>
      </c>
      <c r="O32">
        <f t="shared" ca="1" si="5"/>
        <v>0.32174955087576318</v>
      </c>
      <c r="Q32" s="2">
        <f t="shared" si="4"/>
        <v>40052.975599999998</v>
      </c>
    </row>
    <row r="33" spans="1:17" x14ac:dyDescent="0.2">
      <c r="A33" s="34" t="s">
        <v>43</v>
      </c>
      <c r="B33" s="35" t="s">
        <v>33</v>
      </c>
      <c r="C33" s="36">
        <v>55071.475610000001</v>
      </c>
      <c r="D33" s="36">
        <v>5.9999999999999995E-4</v>
      </c>
      <c r="E33">
        <f t="shared" si="0"/>
        <v>17262.255957800298</v>
      </c>
      <c r="F33" s="15">
        <f t="shared" si="6"/>
        <v>17262</v>
      </c>
      <c r="G33">
        <f t="shared" si="2"/>
        <v>0.32012660000327742</v>
      </c>
      <c r="K33">
        <f>+G33</f>
        <v>0.32012660000327742</v>
      </c>
      <c r="O33">
        <f t="shared" ca="1" si="5"/>
        <v>0.32174955087576318</v>
      </c>
      <c r="Q33" s="2">
        <f t="shared" si="4"/>
        <v>40052.975610000001</v>
      </c>
    </row>
    <row r="34" spans="1:17" x14ac:dyDescent="0.2">
      <c r="A34" s="11" t="s">
        <v>32</v>
      </c>
      <c r="B34" s="33" t="s">
        <v>33</v>
      </c>
      <c r="C34" s="11">
        <v>55127.754999999997</v>
      </c>
      <c r="D34" s="11">
        <v>1E-3</v>
      </c>
      <c r="E34">
        <f t="shared" si="0"/>
        <v>17307.254245560107</v>
      </c>
      <c r="F34" s="15">
        <f t="shared" si="6"/>
        <v>17307</v>
      </c>
      <c r="G34">
        <f t="shared" si="2"/>
        <v>0.31798509999498492</v>
      </c>
      <c r="K34">
        <f>+G34</f>
        <v>0.31798509999498492</v>
      </c>
      <c r="O34">
        <f t="shared" ca="1" si="5"/>
        <v>0.32264756725128191</v>
      </c>
      <c r="Q34" s="2">
        <f t="shared" si="4"/>
        <v>40109.254999999997</v>
      </c>
    </row>
    <row r="35" spans="1:17" x14ac:dyDescent="0.2">
      <c r="A35" s="11" t="s">
        <v>44</v>
      </c>
      <c r="B35" s="33" t="s">
        <v>45</v>
      </c>
      <c r="C35" s="11">
        <v>55358.516100000001</v>
      </c>
      <c r="D35" s="11">
        <v>3.3999999999999998E-3</v>
      </c>
      <c r="E35">
        <f t="shared" si="0"/>
        <v>17491.759699183025</v>
      </c>
      <c r="F35" s="15">
        <f t="shared" si="6"/>
        <v>17491.5</v>
      </c>
      <c r="G35">
        <f t="shared" si="2"/>
        <v>0.32480594999651657</v>
      </c>
      <c r="J35">
        <f>+G35</f>
        <v>0.32480594999651657</v>
      </c>
      <c r="O35">
        <f t="shared" ca="1" si="5"/>
        <v>0.32632943439090867</v>
      </c>
      <c r="Q35" s="2">
        <f t="shared" si="4"/>
        <v>40340.016100000001</v>
      </c>
    </row>
    <row r="36" spans="1:17" x14ac:dyDescent="0.2">
      <c r="A36" s="37" t="s">
        <v>46</v>
      </c>
      <c r="B36" s="37"/>
      <c r="C36" s="38">
        <v>55480.465400000001</v>
      </c>
      <c r="D36" s="38">
        <v>4.8999999999999998E-3</v>
      </c>
      <c r="E36">
        <f t="shared" si="0"/>
        <v>17589.264481902024</v>
      </c>
      <c r="F36" s="15">
        <f t="shared" si="6"/>
        <v>17589</v>
      </c>
      <c r="G36">
        <f t="shared" si="2"/>
        <v>0.33078770000429358</v>
      </c>
      <c r="J36">
        <f>+G36</f>
        <v>0.33078770000429358</v>
      </c>
      <c r="O36">
        <f t="shared" ca="1" si="5"/>
        <v>0.32827513653786594</v>
      </c>
      <c r="Q36" s="2">
        <f t="shared" si="4"/>
        <v>40461.965400000001</v>
      </c>
    </row>
    <row r="37" spans="1:17" x14ac:dyDescent="0.2">
      <c r="A37" s="52" t="s">
        <v>128</v>
      </c>
      <c r="B37" s="53" t="s">
        <v>45</v>
      </c>
      <c r="C37" s="52">
        <v>55849.431299999997</v>
      </c>
      <c r="D37" s="5"/>
      <c r="E37">
        <f t="shared" si="0"/>
        <v>17884.271832581526</v>
      </c>
      <c r="F37" s="15">
        <f t="shared" si="6"/>
        <v>17884</v>
      </c>
      <c r="G37">
        <f t="shared" si="2"/>
        <v>0.33998119999887422</v>
      </c>
      <c r="K37">
        <f>+G37</f>
        <v>0.33998119999887422</v>
      </c>
      <c r="O37">
        <f t="shared" ca="1" si="5"/>
        <v>0.33416213277737766</v>
      </c>
      <c r="Q37" s="2">
        <f t="shared" si="4"/>
        <v>40830.931299999997</v>
      </c>
    </row>
    <row r="38" spans="1:17" x14ac:dyDescent="0.2">
      <c r="A38" s="54" t="s">
        <v>129</v>
      </c>
      <c r="B38" s="55" t="s">
        <v>33</v>
      </c>
      <c r="C38" s="56">
        <v>57345.2932</v>
      </c>
      <c r="D38" s="56">
        <v>3.0999999999999999E-3</v>
      </c>
      <c r="E38">
        <f>+(C38-C$7)/C$8</f>
        <v>19080.2909121263</v>
      </c>
      <c r="F38" s="60">
        <f t="shared" si="6"/>
        <v>19080</v>
      </c>
      <c r="G38">
        <f>+C38-(C$7+F38*C$8)</f>
        <v>0.36384399999951711</v>
      </c>
      <c r="K38">
        <f>+G38</f>
        <v>0.36384399999951711</v>
      </c>
      <c r="O38">
        <f ca="1">+C$11+C$12*$F38</f>
        <v>0.35802941244671999</v>
      </c>
      <c r="Q38" s="2">
        <f>+C38-15018.5</f>
        <v>42326.7932</v>
      </c>
    </row>
    <row r="39" spans="1:17" x14ac:dyDescent="0.2">
      <c r="A39" s="54" t="s">
        <v>129</v>
      </c>
      <c r="B39" s="55" t="s">
        <v>33</v>
      </c>
      <c r="C39" s="56">
        <v>57338.411699999997</v>
      </c>
      <c r="D39" s="56">
        <v>4.5999999999999999E-3</v>
      </c>
      <c r="E39">
        <f>+(C39-C$7)/C$8</f>
        <v>19074.788796392291</v>
      </c>
      <c r="F39" s="60">
        <f t="shared" si="6"/>
        <v>19074.5</v>
      </c>
      <c r="G39">
        <f>+C39-(C$7+F39*C$8)</f>
        <v>0.36119784999755211</v>
      </c>
      <c r="K39">
        <f>+G39</f>
        <v>0.36119784999755211</v>
      </c>
      <c r="O39">
        <f ca="1">+C$11+C$12*$F39</f>
        <v>0.35791965488971211</v>
      </c>
      <c r="Q39" s="2">
        <f>+C39-15018.5</f>
        <v>42319.911699999997</v>
      </c>
    </row>
    <row r="40" spans="1:17" x14ac:dyDescent="0.2">
      <c r="A40" s="57" t="s">
        <v>130</v>
      </c>
      <c r="B40" s="58" t="s">
        <v>45</v>
      </c>
      <c r="C40" s="59">
        <v>57907.479350000154</v>
      </c>
      <c r="D40" s="59">
        <v>2.9999999999999997E-4</v>
      </c>
      <c r="E40">
        <f>+(C40-C$7)/C$8</f>
        <v>19529.787862116136</v>
      </c>
      <c r="F40" s="60">
        <f>ROUND(2*E40,0)/2-0.5</f>
        <v>19529.5</v>
      </c>
      <c r="G40">
        <f>+C40-(C$7+F40*C$8)</f>
        <v>0.36002935015130788</v>
      </c>
      <c r="K40">
        <f>+G40</f>
        <v>0.36002935015130788</v>
      </c>
      <c r="O40">
        <f ca="1">+C$11+C$12*$F40</f>
        <v>0.36699959824217931</v>
      </c>
      <c r="Q40" s="2">
        <f>+C40-15018.5</f>
        <v>42888.979350000154</v>
      </c>
    </row>
    <row r="41" spans="1:17" x14ac:dyDescent="0.2">
      <c r="D41" s="5"/>
    </row>
    <row r="42" spans="1:17" x14ac:dyDescent="0.2">
      <c r="D42" s="5"/>
    </row>
    <row r="43" spans="1:17" x14ac:dyDescent="0.2">
      <c r="D43" s="5"/>
    </row>
    <row r="44" spans="1:17" x14ac:dyDescent="0.2">
      <c r="D44" s="5"/>
    </row>
    <row r="45" spans="1:17" x14ac:dyDescent="0.2">
      <c r="D45" s="5"/>
    </row>
    <row r="46" spans="1:17" x14ac:dyDescent="0.2">
      <c r="D46" s="5"/>
    </row>
    <row r="47" spans="1:17" x14ac:dyDescent="0.2">
      <c r="D47" s="5"/>
    </row>
    <row r="48" spans="1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rotectedRanges>
    <protectedRange sqref="A40:D40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1"/>
  <sheetViews>
    <sheetView topLeftCell="A2" workbookViewId="0">
      <selection activeCell="A16" sqref="A16:C25"/>
    </sheetView>
  </sheetViews>
  <sheetFormatPr defaultRowHeight="12.75" x14ac:dyDescent="0.2"/>
  <cols>
    <col min="1" max="1" width="19.7109375" style="14" customWidth="1"/>
    <col min="2" max="2" width="4.42578125" style="10" customWidth="1"/>
    <col min="3" max="3" width="12.7109375" style="14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4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47</v>
      </c>
      <c r="I1" s="40" t="s">
        <v>48</v>
      </c>
      <c r="J1" s="41" t="s">
        <v>49</v>
      </c>
    </row>
    <row r="2" spans="1:16" x14ac:dyDescent="0.2">
      <c r="I2" s="42" t="s">
        <v>50</v>
      </c>
      <c r="J2" s="43" t="s">
        <v>51</v>
      </c>
    </row>
    <row r="3" spans="1:16" x14ac:dyDescent="0.2">
      <c r="A3" s="44" t="s">
        <v>52</v>
      </c>
      <c r="I3" s="42" t="s">
        <v>53</v>
      </c>
      <c r="J3" s="43" t="s">
        <v>54</v>
      </c>
    </row>
    <row r="4" spans="1:16" x14ac:dyDescent="0.2">
      <c r="I4" s="42" t="s">
        <v>55</v>
      </c>
      <c r="J4" s="43" t="s">
        <v>54</v>
      </c>
    </row>
    <row r="5" spans="1:16" ht="13.5" thickBot="1" x14ac:dyDescent="0.25">
      <c r="I5" s="45" t="s">
        <v>56</v>
      </c>
      <c r="J5" s="46" t="s">
        <v>57</v>
      </c>
    </row>
    <row r="10" spans="1:16" ht="13.5" thickBot="1" x14ac:dyDescent="0.25"/>
    <row r="11" spans="1:16" ht="12.75" customHeight="1" thickBot="1" x14ac:dyDescent="0.25">
      <c r="A11" s="14" t="str">
        <f t="shared" ref="A11:A25" si="0">P11</f>
        <v>BAVM 152 </v>
      </c>
      <c r="B11" s="5" t="str">
        <f t="shared" ref="B11:B25" si="1">IF(H11=INT(H11),"I","II")</f>
        <v>I</v>
      </c>
      <c r="C11" s="14">
        <f t="shared" ref="C11:C25" si="2">1*G11</f>
        <v>52150.422299999998</v>
      </c>
      <c r="D11" s="10" t="str">
        <f t="shared" ref="D11:D25" si="3">VLOOKUP(F11,I$1:J$5,2,FALSE)</f>
        <v>vis</v>
      </c>
      <c r="E11" s="47">
        <f>VLOOKUP(C11,Active!C$21:E$973,3,FALSE)</f>
        <v>14926.722516426191</v>
      </c>
      <c r="F11" s="5" t="s">
        <v>56</v>
      </c>
      <c r="G11" s="10" t="str">
        <f t="shared" ref="G11:G25" si="4">MID(I11,3,LEN(I11)-3)</f>
        <v>52150.4223</v>
      </c>
      <c r="H11" s="14">
        <f t="shared" ref="H11:H25" si="5">1*K11</f>
        <v>14927</v>
      </c>
      <c r="I11" s="48" t="s">
        <v>82</v>
      </c>
      <c r="J11" s="49" t="s">
        <v>83</v>
      </c>
      <c r="K11" s="48">
        <v>14927</v>
      </c>
      <c r="L11" s="48" t="s">
        <v>84</v>
      </c>
      <c r="M11" s="49" t="s">
        <v>85</v>
      </c>
      <c r="N11" s="49" t="s">
        <v>86</v>
      </c>
      <c r="O11" s="50" t="s">
        <v>87</v>
      </c>
      <c r="P11" s="51" t="s">
        <v>88</v>
      </c>
    </row>
    <row r="12" spans="1:16" ht="12.75" customHeight="1" thickBot="1" x14ac:dyDescent="0.25">
      <c r="A12" s="14" t="str">
        <f t="shared" si="0"/>
        <v>BAVM 178 </v>
      </c>
      <c r="B12" s="5" t="str">
        <f t="shared" si="1"/>
        <v>I</v>
      </c>
      <c r="C12" s="14">
        <f t="shared" si="2"/>
        <v>53614.385300000002</v>
      </c>
      <c r="D12" s="10" t="str">
        <f t="shared" si="3"/>
        <v>vis</v>
      </c>
      <c r="E12" s="47">
        <f>VLOOKUP(C12,Active!C$21:E$973,3,FALSE)</f>
        <v>16097.236772954555</v>
      </c>
      <c r="F12" s="5" t="s">
        <v>56</v>
      </c>
      <c r="G12" s="10" t="str">
        <f t="shared" si="4"/>
        <v>53614.3853</v>
      </c>
      <c r="H12" s="14">
        <f t="shared" si="5"/>
        <v>16097</v>
      </c>
      <c r="I12" s="48" t="s">
        <v>89</v>
      </c>
      <c r="J12" s="49" t="s">
        <v>90</v>
      </c>
      <c r="K12" s="48">
        <v>16097</v>
      </c>
      <c r="L12" s="48" t="s">
        <v>91</v>
      </c>
      <c r="M12" s="49" t="s">
        <v>92</v>
      </c>
      <c r="N12" s="49" t="s">
        <v>93</v>
      </c>
      <c r="O12" s="50" t="s">
        <v>94</v>
      </c>
      <c r="P12" s="51" t="s">
        <v>95</v>
      </c>
    </row>
    <row r="13" spans="1:16" ht="12.75" customHeight="1" thickBot="1" x14ac:dyDescent="0.25">
      <c r="A13" s="14" t="str">
        <f t="shared" si="0"/>
        <v>IBVS 5920 </v>
      </c>
      <c r="B13" s="5" t="str">
        <f t="shared" si="1"/>
        <v>I</v>
      </c>
      <c r="C13" s="14">
        <f t="shared" si="2"/>
        <v>55127.754999999997</v>
      </c>
      <c r="D13" s="10" t="str">
        <f t="shared" si="3"/>
        <v>vis</v>
      </c>
      <c r="E13" s="47">
        <f>VLOOKUP(C13,Active!C$21:E$973,3,FALSE)</f>
        <v>17307.254245560107</v>
      </c>
      <c r="F13" s="5" t="s">
        <v>56</v>
      </c>
      <c r="G13" s="10" t="str">
        <f t="shared" si="4"/>
        <v>55127.755</v>
      </c>
      <c r="H13" s="14">
        <f t="shared" si="5"/>
        <v>17307</v>
      </c>
      <c r="I13" s="48" t="s">
        <v>108</v>
      </c>
      <c r="J13" s="49" t="s">
        <v>109</v>
      </c>
      <c r="K13" s="48" t="s">
        <v>110</v>
      </c>
      <c r="L13" s="48" t="s">
        <v>111</v>
      </c>
      <c r="M13" s="49" t="s">
        <v>92</v>
      </c>
      <c r="N13" s="49" t="s">
        <v>56</v>
      </c>
      <c r="O13" s="50" t="s">
        <v>112</v>
      </c>
      <c r="P13" s="51" t="s">
        <v>113</v>
      </c>
    </row>
    <row r="14" spans="1:16" ht="12.75" customHeight="1" thickBot="1" x14ac:dyDescent="0.25">
      <c r="A14" s="14" t="str">
        <f t="shared" si="0"/>
        <v>BAVM 214 </v>
      </c>
      <c r="B14" s="5" t="str">
        <f t="shared" si="1"/>
        <v>I</v>
      </c>
      <c r="C14" s="14">
        <f t="shared" si="2"/>
        <v>55358.516100000001</v>
      </c>
      <c r="D14" s="10" t="str">
        <f t="shared" si="3"/>
        <v>vis</v>
      </c>
      <c r="E14" s="47">
        <f>VLOOKUP(C14,Active!C$21:E$973,3,FALSE)</f>
        <v>17491.759699183025</v>
      </c>
      <c r="F14" s="5" t="s">
        <v>56</v>
      </c>
      <c r="G14" s="10" t="str">
        <f t="shared" si="4"/>
        <v>55358.5161</v>
      </c>
      <c r="H14" s="14">
        <f t="shared" si="5"/>
        <v>17492</v>
      </c>
      <c r="I14" s="48" t="s">
        <v>114</v>
      </c>
      <c r="J14" s="49" t="s">
        <v>115</v>
      </c>
      <c r="K14" s="48" t="s">
        <v>116</v>
      </c>
      <c r="L14" s="48" t="s">
        <v>117</v>
      </c>
      <c r="M14" s="49" t="s">
        <v>92</v>
      </c>
      <c r="N14" s="49" t="s">
        <v>93</v>
      </c>
      <c r="O14" s="50" t="s">
        <v>87</v>
      </c>
      <c r="P14" s="51" t="s">
        <v>118</v>
      </c>
    </row>
    <row r="15" spans="1:16" ht="12.75" customHeight="1" thickBot="1" x14ac:dyDescent="0.25">
      <c r="A15" s="14" t="str">
        <f t="shared" si="0"/>
        <v>BAVM 215 </v>
      </c>
      <c r="B15" s="5" t="str">
        <f t="shared" si="1"/>
        <v>I</v>
      </c>
      <c r="C15" s="14">
        <f t="shared" si="2"/>
        <v>55480.465400000001</v>
      </c>
      <c r="D15" s="10" t="str">
        <f t="shared" si="3"/>
        <v>vis</v>
      </c>
      <c r="E15" s="47">
        <f>VLOOKUP(C15,Active!C$21:E$973,3,FALSE)</f>
        <v>17589.264481902024</v>
      </c>
      <c r="F15" s="5" t="s">
        <v>56</v>
      </c>
      <c r="G15" s="10" t="str">
        <f t="shared" si="4"/>
        <v>55480.4654</v>
      </c>
      <c r="H15" s="14">
        <f t="shared" si="5"/>
        <v>17589</v>
      </c>
      <c r="I15" s="48" t="s">
        <v>119</v>
      </c>
      <c r="J15" s="49" t="s">
        <v>120</v>
      </c>
      <c r="K15" s="48" t="s">
        <v>121</v>
      </c>
      <c r="L15" s="48" t="s">
        <v>122</v>
      </c>
      <c r="M15" s="49" t="s">
        <v>92</v>
      </c>
      <c r="N15" s="49" t="s">
        <v>93</v>
      </c>
      <c r="O15" s="50" t="s">
        <v>87</v>
      </c>
      <c r="P15" s="51" t="s">
        <v>123</v>
      </c>
    </row>
    <row r="16" spans="1:16" ht="12.75" customHeight="1" thickBot="1" x14ac:dyDescent="0.25">
      <c r="A16" s="14" t="str">
        <f t="shared" si="0"/>
        <v> RIA 8.231 </v>
      </c>
      <c r="B16" s="5" t="str">
        <f t="shared" si="1"/>
        <v>I</v>
      </c>
      <c r="C16" s="14">
        <f t="shared" si="2"/>
        <v>33062.580999999998</v>
      </c>
      <c r="D16" s="10" t="str">
        <f t="shared" si="3"/>
        <v>vis</v>
      </c>
      <c r="E16" s="47">
        <f>VLOOKUP(C16,Active!C$21:E$973,3,FALSE)</f>
        <v>-334.99541497018379</v>
      </c>
      <c r="F16" s="5" t="s">
        <v>56</v>
      </c>
      <c r="G16" s="10" t="str">
        <f t="shared" si="4"/>
        <v>33062.581</v>
      </c>
      <c r="H16" s="14">
        <f t="shared" si="5"/>
        <v>-335</v>
      </c>
      <c r="I16" s="48" t="s">
        <v>58</v>
      </c>
      <c r="J16" s="49" t="s">
        <v>59</v>
      </c>
      <c r="K16" s="48">
        <v>-335</v>
      </c>
      <c r="L16" s="48" t="s">
        <v>60</v>
      </c>
      <c r="M16" s="49" t="s">
        <v>61</v>
      </c>
      <c r="N16" s="49"/>
      <c r="O16" s="50" t="s">
        <v>62</v>
      </c>
      <c r="P16" s="50" t="s">
        <v>63</v>
      </c>
    </row>
    <row r="17" spans="1:16" ht="12.75" customHeight="1" thickBot="1" x14ac:dyDescent="0.25">
      <c r="A17" s="14" t="str">
        <f t="shared" si="0"/>
        <v> RIA 8.231 </v>
      </c>
      <c r="B17" s="5" t="str">
        <f t="shared" si="1"/>
        <v>I</v>
      </c>
      <c r="C17" s="14">
        <f t="shared" si="2"/>
        <v>33206.398000000001</v>
      </c>
      <c r="D17" s="10" t="str">
        <f t="shared" si="3"/>
        <v>vis</v>
      </c>
      <c r="E17" s="47">
        <f>VLOOKUP(C17,Active!C$21:E$973,3,FALSE)</f>
        <v>-220.00627328344552</v>
      </c>
      <c r="F17" s="5" t="s">
        <v>56</v>
      </c>
      <c r="G17" s="10" t="str">
        <f t="shared" si="4"/>
        <v>33206.398</v>
      </c>
      <c r="H17" s="14">
        <f t="shared" si="5"/>
        <v>-220</v>
      </c>
      <c r="I17" s="48" t="s">
        <v>64</v>
      </c>
      <c r="J17" s="49" t="s">
        <v>65</v>
      </c>
      <c r="K17" s="48">
        <v>-220</v>
      </c>
      <c r="L17" s="48" t="s">
        <v>66</v>
      </c>
      <c r="M17" s="49" t="s">
        <v>61</v>
      </c>
      <c r="N17" s="49"/>
      <c r="O17" s="50" t="s">
        <v>62</v>
      </c>
      <c r="P17" s="50" t="s">
        <v>63</v>
      </c>
    </row>
    <row r="18" spans="1:16" ht="12.75" customHeight="1" thickBot="1" x14ac:dyDescent="0.25">
      <c r="A18" s="14" t="str">
        <f t="shared" si="0"/>
        <v> RIA 8.231 </v>
      </c>
      <c r="B18" s="5" t="str">
        <f t="shared" si="1"/>
        <v>I</v>
      </c>
      <c r="C18" s="14">
        <f t="shared" si="2"/>
        <v>33481.567999999999</v>
      </c>
      <c r="D18" s="10" t="str">
        <f t="shared" si="3"/>
        <v>vis</v>
      </c>
      <c r="E18" s="47">
        <f>VLOOKUP(C18,Active!C$21:E$973,3,FALSE)</f>
        <v>6.3964144272325215E-3</v>
      </c>
      <c r="F18" s="5" t="s">
        <v>56</v>
      </c>
      <c r="G18" s="10" t="str">
        <f t="shared" si="4"/>
        <v>33481.568</v>
      </c>
      <c r="H18" s="14">
        <f t="shared" si="5"/>
        <v>0</v>
      </c>
      <c r="I18" s="48" t="s">
        <v>67</v>
      </c>
      <c r="J18" s="49" t="s">
        <v>68</v>
      </c>
      <c r="K18" s="48">
        <v>0</v>
      </c>
      <c r="L18" s="48" t="s">
        <v>69</v>
      </c>
      <c r="M18" s="49" t="s">
        <v>61</v>
      </c>
      <c r="N18" s="49"/>
      <c r="O18" s="50" t="s">
        <v>62</v>
      </c>
      <c r="P18" s="50" t="s">
        <v>63</v>
      </c>
    </row>
    <row r="19" spans="1:16" ht="12.75" customHeight="1" thickBot="1" x14ac:dyDescent="0.25">
      <c r="A19" s="14" t="str">
        <f t="shared" si="0"/>
        <v> RIA 8.231 </v>
      </c>
      <c r="B19" s="5" t="str">
        <f t="shared" si="1"/>
        <v>I</v>
      </c>
      <c r="C19" s="14">
        <f t="shared" si="2"/>
        <v>33656.659</v>
      </c>
      <c r="D19" s="10" t="str">
        <f t="shared" si="3"/>
        <v>vis</v>
      </c>
      <c r="E19" s="47">
        <f>VLOOKUP(C19,Active!C$21:E$973,3,FALSE)</f>
        <v>140.00072119572809</v>
      </c>
      <c r="F19" s="5" t="s">
        <v>56</v>
      </c>
      <c r="G19" s="10" t="str">
        <f t="shared" si="4"/>
        <v>33656.659</v>
      </c>
      <c r="H19" s="14">
        <f t="shared" si="5"/>
        <v>140</v>
      </c>
      <c r="I19" s="48" t="s">
        <v>70</v>
      </c>
      <c r="J19" s="49" t="s">
        <v>71</v>
      </c>
      <c r="K19" s="48">
        <v>140</v>
      </c>
      <c r="L19" s="48" t="s">
        <v>72</v>
      </c>
      <c r="M19" s="49" t="s">
        <v>61</v>
      </c>
      <c r="N19" s="49"/>
      <c r="O19" s="50" t="s">
        <v>62</v>
      </c>
      <c r="P19" s="50" t="s">
        <v>63</v>
      </c>
    </row>
    <row r="20" spans="1:16" ht="12.75" customHeight="1" thickBot="1" x14ac:dyDescent="0.25">
      <c r="A20" s="14" t="str">
        <f t="shared" si="0"/>
        <v> RIA 8.231 </v>
      </c>
      <c r="B20" s="5" t="str">
        <f t="shared" si="1"/>
        <v>I</v>
      </c>
      <c r="C20" s="14">
        <f t="shared" si="2"/>
        <v>34070.642</v>
      </c>
      <c r="D20" s="10" t="str">
        <f t="shared" si="3"/>
        <v>vis</v>
      </c>
      <c r="E20" s="47">
        <f>VLOOKUP(C20,Active!C$21:E$973,3,FALSE)</f>
        <v>471.0015753569196</v>
      </c>
      <c r="F20" s="5" t="s">
        <v>56</v>
      </c>
      <c r="G20" s="10" t="str">
        <f t="shared" si="4"/>
        <v>34070.642</v>
      </c>
      <c r="H20" s="14">
        <f t="shared" si="5"/>
        <v>471</v>
      </c>
      <c r="I20" s="48" t="s">
        <v>73</v>
      </c>
      <c r="J20" s="49" t="s">
        <v>74</v>
      </c>
      <c r="K20" s="48">
        <v>471</v>
      </c>
      <c r="L20" s="48" t="s">
        <v>75</v>
      </c>
      <c r="M20" s="49" t="s">
        <v>61</v>
      </c>
      <c r="N20" s="49"/>
      <c r="O20" s="50" t="s">
        <v>62</v>
      </c>
      <c r="P20" s="50" t="s">
        <v>63</v>
      </c>
    </row>
    <row r="21" spans="1:16" ht="12.75" customHeight="1" thickBot="1" x14ac:dyDescent="0.25">
      <c r="A21" s="14" t="str">
        <f t="shared" si="0"/>
        <v> RIA 8.231 </v>
      </c>
      <c r="B21" s="5" t="str">
        <f t="shared" si="1"/>
        <v>I</v>
      </c>
      <c r="C21" s="14">
        <f t="shared" si="2"/>
        <v>34712.243000000002</v>
      </c>
      <c r="D21" s="10" t="str">
        <f t="shared" si="3"/>
        <v>vis</v>
      </c>
      <c r="E21" s="47">
        <f>VLOOKUP(C21,Active!C$21:E$973,3,FALSE)</f>
        <v>983.99481186826267</v>
      </c>
      <c r="F21" s="5" t="s">
        <v>56</v>
      </c>
      <c r="G21" s="10" t="str">
        <f t="shared" si="4"/>
        <v>34712.243</v>
      </c>
      <c r="H21" s="14">
        <f t="shared" si="5"/>
        <v>984</v>
      </c>
      <c r="I21" s="48" t="s">
        <v>76</v>
      </c>
      <c r="J21" s="49" t="s">
        <v>77</v>
      </c>
      <c r="K21" s="48">
        <v>984</v>
      </c>
      <c r="L21" s="48" t="s">
        <v>78</v>
      </c>
      <c r="M21" s="49" t="s">
        <v>61</v>
      </c>
      <c r="N21" s="49"/>
      <c r="O21" s="50" t="s">
        <v>62</v>
      </c>
      <c r="P21" s="50" t="s">
        <v>63</v>
      </c>
    </row>
    <row r="22" spans="1:16" ht="12.75" customHeight="1" thickBot="1" x14ac:dyDescent="0.25">
      <c r="A22" s="14" t="str">
        <f t="shared" si="0"/>
        <v> RIA 8.231 </v>
      </c>
      <c r="B22" s="5" t="str">
        <f t="shared" si="1"/>
        <v>I</v>
      </c>
      <c r="C22" s="14">
        <f t="shared" si="2"/>
        <v>35336.351999999999</v>
      </c>
      <c r="D22" s="10" t="str">
        <f t="shared" si="3"/>
        <v>vis</v>
      </c>
      <c r="E22" s="47">
        <f>VLOOKUP(C22,Active!C$21:E$973,3,FALSE)</f>
        <v>1483.0022882373066</v>
      </c>
      <c r="F22" s="5" t="s">
        <v>56</v>
      </c>
      <c r="G22" s="10" t="str">
        <f t="shared" si="4"/>
        <v>35336.352</v>
      </c>
      <c r="H22" s="14">
        <f t="shared" si="5"/>
        <v>1483</v>
      </c>
      <c r="I22" s="48" t="s">
        <v>79</v>
      </c>
      <c r="J22" s="49" t="s">
        <v>80</v>
      </c>
      <c r="K22" s="48">
        <v>1483</v>
      </c>
      <c r="L22" s="48" t="s">
        <v>81</v>
      </c>
      <c r="M22" s="49" t="s">
        <v>61</v>
      </c>
      <c r="N22" s="49"/>
      <c r="O22" s="50" t="s">
        <v>62</v>
      </c>
      <c r="P22" s="50" t="s">
        <v>63</v>
      </c>
    </row>
    <row r="23" spans="1:16" ht="12.75" customHeight="1" thickBot="1" x14ac:dyDescent="0.25">
      <c r="A23" s="14" t="str">
        <f t="shared" si="0"/>
        <v>BAVM 212 </v>
      </c>
      <c r="B23" s="5" t="str">
        <f t="shared" si="1"/>
        <v>I</v>
      </c>
      <c r="C23" s="14">
        <f t="shared" si="2"/>
        <v>55051.463900000002</v>
      </c>
      <c r="D23" s="10" t="str">
        <f t="shared" si="3"/>
        <v>vis</v>
      </c>
      <c r="E23" s="47">
        <f>VLOOKUP(C23,Active!C$21:E$973,3,FALSE)</f>
        <v>17246.255558983859</v>
      </c>
      <c r="F23" s="5" t="s">
        <v>56</v>
      </c>
      <c r="G23" s="10" t="str">
        <f t="shared" si="4"/>
        <v>55051.4639</v>
      </c>
      <c r="H23" s="14">
        <f t="shared" si="5"/>
        <v>17246</v>
      </c>
      <c r="I23" s="48" t="s">
        <v>96</v>
      </c>
      <c r="J23" s="49" t="s">
        <v>97</v>
      </c>
      <c r="K23" s="48" t="s">
        <v>98</v>
      </c>
      <c r="L23" s="48" t="s">
        <v>99</v>
      </c>
      <c r="M23" s="49" t="s">
        <v>92</v>
      </c>
      <c r="N23" s="49" t="s">
        <v>93</v>
      </c>
      <c r="O23" s="50" t="s">
        <v>87</v>
      </c>
      <c r="P23" s="51" t="s">
        <v>100</v>
      </c>
    </row>
    <row r="24" spans="1:16" ht="12.75" customHeight="1" thickBot="1" x14ac:dyDescent="0.25">
      <c r="A24" s="14" t="str">
        <f t="shared" si="0"/>
        <v>OEJV 0137 </v>
      </c>
      <c r="B24" s="5" t="str">
        <f t="shared" si="1"/>
        <v>I</v>
      </c>
      <c r="C24" s="14">
        <f t="shared" si="2"/>
        <v>55071.475599999998</v>
      </c>
      <c r="D24" s="10" t="str">
        <f t="shared" si="3"/>
        <v>vis</v>
      </c>
      <c r="E24" s="47">
        <f>VLOOKUP(C24,Active!C$21:E$973,3,FALSE)</f>
        <v>17262.255949804778</v>
      </c>
      <c r="F24" s="5" t="s">
        <v>56</v>
      </c>
      <c r="G24" s="10" t="str">
        <f t="shared" si="4"/>
        <v>55071.4756</v>
      </c>
      <c r="H24" s="14">
        <f t="shared" si="5"/>
        <v>17262</v>
      </c>
      <c r="I24" s="48" t="s">
        <v>101</v>
      </c>
      <c r="J24" s="49" t="s">
        <v>102</v>
      </c>
      <c r="K24" s="48" t="s">
        <v>103</v>
      </c>
      <c r="L24" s="48" t="s">
        <v>104</v>
      </c>
      <c r="M24" s="49" t="s">
        <v>92</v>
      </c>
      <c r="N24" s="49" t="s">
        <v>105</v>
      </c>
      <c r="O24" s="50" t="s">
        <v>106</v>
      </c>
      <c r="P24" s="51" t="s">
        <v>107</v>
      </c>
    </row>
    <row r="25" spans="1:16" ht="12.75" customHeight="1" thickBot="1" x14ac:dyDescent="0.25">
      <c r="A25" s="14" t="str">
        <f t="shared" si="0"/>
        <v>BAVM 225 </v>
      </c>
      <c r="B25" s="5" t="str">
        <f t="shared" si="1"/>
        <v>II</v>
      </c>
      <c r="C25" s="14">
        <f t="shared" si="2"/>
        <v>55849.431299999997</v>
      </c>
      <c r="D25" s="10" t="str">
        <f t="shared" si="3"/>
        <v>vis</v>
      </c>
      <c r="E25" s="47">
        <f>VLOOKUP(C25,Active!C$21:E$973,3,FALSE)</f>
        <v>17884.271832581526</v>
      </c>
      <c r="F25" s="5" t="s">
        <v>56</v>
      </c>
      <c r="G25" s="10" t="str">
        <f t="shared" si="4"/>
        <v>55849.4313</v>
      </c>
      <c r="H25" s="14">
        <f t="shared" si="5"/>
        <v>17884.5</v>
      </c>
      <c r="I25" s="48" t="s">
        <v>124</v>
      </c>
      <c r="J25" s="49" t="s">
        <v>125</v>
      </c>
      <c r="K25" s="48" t="s">
        <v>126</v>
      </c>
      <c r="L25" s="48" t="s">
        <v>127</v>
      </c>
      <c r="M25" s="49" t="s">
        <v>92</v>
      </c>
      <c r="N25" s="49" t="s">
        <v>93</v>
      </c>
      <c r="O25" s="50" t="s">
        <v>87</v>
      </c>
      <c r="P25" s="51" t="s">
        <v>128</v>
      </c>
    </row>
    <row r="26" spans="1:16" x14ac:dyDescent="0.2">
      <c r="B26" s="5"/>
      <c r="E26" s="47"/>
      <c r="F26" s="5"/>
    </row>
    <row r="27" spans="1:16" x14ac:dyDescent="0.2">
      <c r="B27" s="5"/>
      <c r="E27" s="47"/>
      <c r="F27" s="5"/>
    </row>
    <row r="28" spans="1:16" x14ac:dyDescent="0.2">
      <c r="B28" s="5"/>
      <c r="E28" s="47"/>
      <c r="F28" s="5"/>
    </row>
    <row r="29" spans="1:16" x14ac:dyDescent="0.2">
      <c r="B29" s="5"/>
      <c r="E29" s="47"/>
      <c r="F29" s="5"/>
    </row>
    <row r="30" spans="1:16" x14ac:dyDescent="0.2">
      <c r="B30" s="5"/>
      <c r="E30" s="47"/>
      <c r="F30" s="5"/>
    </row>
    <row r="31" spans="1:16" x14ac:dyDescent="0.2">
      <c r="B31" s="5"/>
      <c r="E31" s="47"/>
      <c r="F31" s="5"/>
    </row>
    <row r="32" spans="1:16" x14ac:dyDescent="0.2">
      <c r="B32" s="5"/>
      <c r="E32" s="47"/>
      <c r="F32" s="5"/>
    </row>
    <row r="33" spans="2:6" x14ac:dyDescent="0.2">
      <c r="B33" s="5"/>
      <c r="E33" s="47"/>
      <c r="F33" s="5"/>
    </row>
    <row r="34" spans="2:6" x14ac:dyDescent="0.2">
      <c r="B34" s="5"/>
      <c r="E34" s="47"/>
      <c r="F34" s="5"/>
    </row>
    <row r="35" spans="2:6" x14ac:dyDescent="0.2">
      <c r="B35" s="5"/>
      <c r="E35" s="47"/>
      <c r="F35" s="5"/>
    </row>
    <row r="36" spans="2:6" x14ac:dyDescent="0.2">
      <c r="B36" s="5"/>
      <c r="E36" s="47"/>
      <c r="F36" s="5"/>
    </row>
    <row r="37" spans="2:6" x14ac:dyDescent="0.2">
      <c r="B37" s="5"/>
      <c r="E37" s="47"/>
      <c r="F37" s="5"/>
    </row>
    <row r="38" spans="2:6" x14ac:dyDescent="0.2">
      <c r="B38" s="5"/>
      <c r="E38" s="47"/>
      <c r="F38" s="5"/>
    </row>
    <row r="39" spans="2:6" x14ac:dyDescent="0.2">
      <c r="B39" s="5"/>
      <c r="E39" s="47"/>
      <c r="F39" s="5"/>
    </row>
    <row r="40" spans="2:6" x14ac:dyDescent="0.2">
      <c r="B40" s="5"/>
      <c r="E40" s="47"/>
      <c r="F40" s="5"/>
    </row>
    <row r="41" spans="2:6" x14ac:dyDescent="0.2">
      <c r="B41" s="5"/>
      <c r="E41" s="47"/>
      <c r="F41" s="5"/>
    </row>
    <row r="42" spans="2:6" x14ac:dyDescent="0.2">
      <c r="B42" s="5"/>
      <c r="E42" s="47"/>
      <c r="F42" s="5"/>
    </row>
    <row r="43" spans="2:6" x14ac:dyDescent="0.2">
      <c r="B43" s="5"/>
      <c r="E43" s="47"/>
      <c r="F43" s="5"/>
    </row>
    <row r="44" spans="2:6" x14ac:dyDescent="0.2">
      <c r="B44" s="5"/>
      <c r="E44" s="47"/>
      <c r="F44" s="5"/>
    </row>
    <row r="45" spans="2:6" x14ac:dyDescent="0.2">
      <c r="B45" s="5"/>
      <c r="E45" s="47"/>
      <c r="F45" s="5"/>
    </row>
    <row r="46" spans="2:6" x14ac:dyDescent="0.2">
      <c r="B46" s="5"/>
      <c r="E46" s="47"/>
      <c r="F46" s="5"/>
    </row>
    <row r="47" spans="2:6" x14ac:dyDescent="0.2">
      <c r="B47" s="5"/>
      <c r="E47" s="47"/>
      <c r="F47" s="5"/>
    </row>
    <row r="48" spans="2:6" x14ac:dyDescent="0.2">
      <c r="B48" s="5"/>
      <c r="E48" s="47"/>
      <c r="F48" s="5"/>
    </row>
    <row r="49" spans="2:6" x14ac:dyDescent="0.2">
      <c r="B49" s="5"/>
      <c r="E49" s="47"/>
      <c r="F49" s="5"/>
    </row>
    <row r="50" spans="2:6" x14ac:dyDescent="0.2">
      <c r="B50" s="5"/>
      <c r="E50" s="47"/>
      <c r="F50" s="5"/>
    </row>
    <row r="51" spans="2:6" x14ac:dyDescent="0.2">
      <c r="B51" s="5"/>
      <c r="E51" s="47"/>
      <c r="F51" s="5"/>
    </row>
    <row r="52" spans="2:6" x14ac:dyDescent="0.2">
      <c r="B52" s="5"/>
      <c r="E52" s="47"/>
      <c r="F52" s="5"/>
    </row>
    <row r="53" spans="2:6" x14ac:dyDescent="0.2">
      <c r="B53" s="5"/>
      <c r="E53" s="47"/>
      <c r="F53" s="5"/>
    </row>
    <row r="54" spans="2:6" x14ac:dyDescent="0.2">
      <c r="B54" s="5"/>
      <c r="E54" s="47"/>
      <c r="F54" s="5"/>
    </row>
    <row r="55" spans="2:6" x14ac:dyDescent="0.2">
      <c r="B55" s="5"/>
      <c r="E55" s="47"/>
      <c r="F55" s="5"/>
    </row>
    <row r="56" spans="2:6" x14ac:dyDescent="0.2">
      <c r="B56" s="5"/>
      <c r="E56" s="47"/>
      <c r="F56" s="5"/>
    </row>
    <row r="57" spans="2:6" x14ac:dyDescent="0.2">
      <c r="B57" s="5"/>
      <c r="E57" s="47"/>
      <c r="F57" s="5"/>
    </row>
    <row r="58" spans="2:6" x14ac:dyDescent="0.2">
      <c r="B58" s="5"/>
      <c r="E58" s="47"/>
      <c r="F58" s="5"/>
    </row>
    <row r="59" spans="2:6" x14ac:dyDescent="0.2">
      <c r="B59" s="5"/>
      <c r="E59" s="47"/>
      <c r="F59" s="5"/>
    </row>
    <row r="60" spans="2:6" x14ac:dyDescent="0.2">
      <c r="B60" s="5"/>
      <c r="E60" s="47"/>
      <c r="F60" s="5"/>
    </row>
    <row r="61" spans="2:6" x14ac:dyDescent="0.2">
      <c r="B61" s="5"/>
      <c r="E61" s="47"/>
      <c r="F61" s="5"/>
    </row>
    <row r="62" spans="2:6" x14ac:dyDescent="0.2">
      <c r="B62" s="5"/>
      <c r="E62" s="47"/>
      <c r="F62" s="5"/>
    </row>
    <row r="63" spans="2:6" x14ac:dyDescent="0.2">
      <c r="B63" s="5"/>
      <c r="E63" s="47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</sheetData>
  <phoneticPr fontId="8" type="noConversion"/>
  <hyperlinks>
    <hyperlink ref="P11" r:id="rId1" display="http://www.bav-astro.de/sfs/BAVM_link.php?BAVMnr=152"/>
    <hyperlink ref="P12" r:id="rId2" display="http://www.bav-astro.de/sfs/BAVM_link.php?BAVMnr=178"/>
    <hyperlink ref="P23" r:id="rId3" display="http://www.bav-astro.de/sfs/BAVM_link.php?BAVMnr=212"/>
    <hyperlink ref="P24" r:id="rId4" display="http://var.astro.cz/oejv/issues/oejv0137.pdf"/>
    <hyperlink ref="P13" r:id="rId5" display="http://www.konkoly.hu/cgi-bin/IBVS?5920"/>
    <hyperlink ref="P14" r:id="rId6" display="http://www.bav-astro.de/sfs/BAVM_link.php?BAVMnr=214"/>
    <hyperlink ref="P15" r:id="rId7" display="http://www.bav-astro.de/sfs/BAVM_link.php?BAVMnr=215"/>
    <hyperlink ref="P25" r:id="rId8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2024-02-17T02:51:11Z</dcterms:modified>
</cp:coreProperties>
</file>