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1E00B52-5A86-4638-B0DD-6E40473872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5" i="1" l="1"/>
  <c r="Q26" i="1"/>
  <c r="G13" i="2"/>
  <c r="C13" i="2"/>
  <c r="G12" i="2"/>
  <c r="C12" i="2"/>
  <c r="G11" i="2"/>
  <c r="C11" i="2"/>
  <c r="H13" i="2"/>
  <c r="B13" i="2"/>
  <c r="D13" i="2"/>
  <c r="A13" i="2"/>
  <c r="H12" i="2"/>
  <c r="D12" i="2"/>
  <c r="B12" i="2"/>
  <c r="A12" i="2"/>
  <c r="H11" i="2"/>
  <c r="B11" i="2"/>
  <c r="D11" i="2"/>
  <c r="A11" i="2"/>
  <c r="Q24" i="1"/>
  <c r="F14" i="1"/>
  <c r="F15" i="1" s="1"/>
  <c r="F16" i="1" s="1"/>
  <c r="Q23" i="1"/>
  <c r="Q22" i="1"/>
  <c r="C21" i="1"/>
  <c r="Q21" i="1"/>
  <c r="C17" i="1"/>
  <c r="C7" i="1"/>
  <c r="C8" i="1"/>
  <c r="E25" i="1"/>
  <c r="F25" i="1"/>
  <c r="E11" i="2"/>
  <c r="E12" i="2"/>
  <c r="G25" i="1"/>
  <c r="I25" i="1"/>
  <c r="E13" i="2"/>
  <c r="E26" i="1"/>
  <c r="F26" i="1"/>
  <c r="G26" i="1"/>
  <c r="I26" i="1"/>
  <c r="E23" i="1"/>
  <c r="F23" i="1"/>
  <c r="G23" i="1"/>
  <c r="I23" i="1"/>
  <c r="E21" i="1"/>
  <c r="F21" i="1"/>
  <c r="E24" i="1"/>
  <c r="F24" i="1"/>
  <c r="G24" i="1"/>
  <c r="I24" i="1"/>
  <c r="E22" i="1"/>
  <c r="F22" i="1"/>
  <c r="G22" i="1"/>
  <c r="I22" i="1"/>
  <c r="C11" i="1"/>
  <c r="C12" i="1"/>
  <c r="C16" i="1"/>
  <c r="D18" i="1"/>
  <c r="O21" i="1"/>
  <c r="O26" i="1"/>
  <c r="O25" i="1"/>
  <c r="O23" i="1"/>
  <c r="C15" i="1"/>
  <c r="O22" i="1"/>
  <c r="O24" i="1"/>
  <c r="C18" i="1"/>
</calcChain>
</file>

<file path=xl/sharedStrings.xml><?xml version="1.0" encoding="utf-8"?>
<sst xmlns="http://schemas.openxmlformats.org/spreadsheetml/2006/main" count="88" uniqueCount="72">
  <si>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</si>
  <si>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</si>
  <si>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</si>
  <si>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</si>
  <si>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</si>
  <si>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</si>
  <si>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</si>
  <si>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</si>
  <si>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</si>
  <si>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</si>
  <si>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</si>
  <si>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</si>
  <si>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</si>
  <si>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</si>
  <si>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</si>
  <si>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</si>
  <si>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</si>
  <si>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</si>
  <si>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</si>
  <si>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</si>
  <si>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</si>
  <si>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</si>
  <si>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</si>
  <si>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</si>
  <si>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</si>
  <si>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</si>
  <si>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</si>
  <si>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</si>
  <si>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</si>
  <si>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</si>
  <si>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EA/DM</t>
  </si>
  <si>
    <t>IBVS 5594</t>
  </si>
  <si>
    <t>I</t>
  </si>
  <si>
    <t>MW Lac / gsc 3987-1235</t>
  </si>
  <si>
    <t>IBVS 5731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</si>
  <si>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</si>
  <si>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</si>
  <si>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</si>
  <si>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</si>
  <si>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</si>
  <si>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</si>
  <si>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5761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</si>
  <si>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</si>
  <si>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</si>
  <si>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</si>
  <si>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</si>
  <si>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</si>
  <si>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</si>
  <si>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</si>
  <si>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</si>
  <si>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</si>
  <si>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</si>
  <si>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</si>
  <si>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2452507.5846 </t>
  </si>
  <si>
    <t> 21.08.2002 02:01 </t>
  </si>
  <si>
    <t> 0.0749 </t>
  </si>
  <si>
    <t>C </t>
  </si>
  <si>
    <t>R</t>
  </si>
  <si>
    <t> Sarounova &amp; Wolf </t>
  </si>
  <si>
    <t>IBVS 5594 </t>
  </si>
  <si>
    <t>2453895.4741 </t>
  </si>
  <si>
    <t> 08.06.2006 23:22 </t>
  </si>
  <si>
    <t>-I</t>
  </si>
  <si>
    <t> F.Agerer </t>
  </si>
  <si>
    <t>BAVM 178 </t>
  </si>
  <si>
    <t>2454035.3875 </t>
  </si>
  <si>
    <t> 26.10.2006 21:18 </t>
  </si>
  <si>
    <t>7442</t>
  </si>
  <si>
    <t> 0.0800 </t>
  </si>
  <si>
    <t>BAVM 183 </t>
  </si>
  <si>
    <t>OEJV 0210</t>
  </si>
  <si>
    <t>Local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</si>
</sst>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8" applyFont="1"/>
    <xf numFmtId="0" fontId="17" fillId="0" borderId="0" xfId="8" applyFont="1" applyAlignment="1">
      <alignment horizontal="center"/>
    </xf>
    <xf numFmtId="0" fontId="17" fillId="0" borderId="0" xfId="8" applyFont="1" applyAlignment="1">
      <alignment horizontal="left"/>
    </xf>
    <xf numFmtId="0" fontId="18" fillId="0" borderId="0" xfId="0" applyFont="1" applyAlignment="1">
      <alignment horizontal="righ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Lac - O-C Diagr.</a:t>
            </a:r>
          </a:p>
        </c:rich>
      </c:tx>
      <c:layout>
        <c:manualLayout>
          <c:xMode val="edge"/>
          <c:yMode val="edge"/>
          <c:x val="0.374798400603801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34168126798494"/>
          <c:w val="0.8109861001442757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D6-432B-B872-417997526C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7.4897600003168918E-2</c:v>
                </c:pt>
                <c:pt idx="2">
                  <c:v>7.4855199993180577E-2</c:v>
                </c:pt>
                <c:pt idx="3">
                  <c:v>8.0035199993290007E-2</c:v>
                </c:pt>
                <c:pt idx="4">
                  <c:v>2.099000007729046E-2</c:v>
                </c:pt>
                <c:pt idx="5">
                  <c:v>2.1186000172747299E-2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D6-432B-B872-417997526C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D6-432B-B872-417997526C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D6-432B-B872-417997526C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D6-432B-B872-417997526C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D6-432B-B872-417997526C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D6-432B-B872-417997526C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0.26681027753583153</c:v>
                </c:pt>
                <c:pt idx="1">
                  <c:v>8.4798482710218781E-2</c:v>
                </c:pt>
                <c:pt idx="2">
                  <c:v>7.1707147119513454E-2</c:v>
                </c:pt>
                <c:pt idx="3">
                  <c:v>7.0387456031740736E-2</c:v>
                </c:pt>
                <c:pt idx="4">
                  <c:v>2.2535457189102132E-2</c:v>
                </c:pt>
                <c:pt idx="5">
                  <c:v>2.2535457189102132E-2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D6-432B-B872-41799752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70904"/>
        <c:axId val="1"/>
      </c:scatterChart>
      <c:valAx>
        <c:axId val="549270904"/>
        <c:scaling>
          <c:orientation val="minMax"/>
          <c:max val="8000"/>
          <c:min val="6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9"/>
          <c:min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270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2073298764483702"/>
          <c:w val="0.7237484894355895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Lac - O-C Diagr.</a:t>
            </a:r>
          </a:p>
        </c:rich>
      </c:tx>
      <c:layout>
        <c:manualLayout>
          <c:xMode val="edge"/>
          <c:yMode val="edge"/>
          <c:x val="0.3741935483870967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5-42A5-A3F1-B8C493D860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7.4897600003168918E-2</c:v>
                </c:pt>
                <c:pt idx="2">
                  <c:v>7.4855199993180577E-2</c:v>
                </c:pt>
                <c:pt idx="3">
                  <c:v>8.0035199993290007E-2</c:v>
                </c:pt>
                <c:pt idx="4">
                  <c:v>2.099000007729046E-2</c:v>
                </c:pt>
                <c:pt idx="5">
                  <c:v>2.1186000172747299E-2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5-42A5-A3F1-B8C493D860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55-42A5-A3F1-B8C493D860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55-42A5-A3F1-B8C493D860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55-42A5-A3F1-B8C493D860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55-42A5-A3F1-B8C493D860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4.7860000000000003E-3</c:v>
                  </c:pt>
                  <c:pt idx="5">
                    <c:v>9.6989999999999993E-3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55-42A5-A3F1-B8C493D860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6896</c:v>
                </c:pt>
                <c:pt idx="2">
                  <c:v>7392</c:v>
                </c:pt>
                <c:pt idx="3">
                  <c:v>7442</c:v>
                </c:pt>
                <c:pt idx="4">
                  <c:v>9255</c:v>
                </c:pt>
                <c:pt idx="5">
                  <c:v>9255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0.26681027753583153</c:v>
                </c:pt>
                <c:pt idx="1">
                  <c:v>8.4798482710218781E-2</c:v>
                </c:pt>
                <c:pt idx="2">
                  <c:v>7.1707147119513454E-2</c:v>
                </c:pt>
                <c:pt idx="3">
                  <c:v>7.0387456031740736E-2</c:v>
                </c:pt>
                <c:pt idx="4">
                  <c:v>2.2535457189102132E-2</c:v>
                </c:pt>
                <c:pt idx="5">
                  <c:v>2.2535457189102132E-2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55-42A5-A3F1-B8C493D8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668656"/>
        <c:axId val="1"/>
      </c:scatterChart>
      <c:valAx>
        <c:axId val="74966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668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87096774193548"/>
          <c:y val="0.92097264437689974"/>
          <c:w val="0.7225806451612902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247650</xdr:colOff>
      <xdr:row>18</xdr:row>
      <xdr:rowOff>66674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BFF48D5-4F1C-A3D3-7D39-C73736050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0</xdr:rowOff>
    </xdr:from>
    <xdr:to>
      <xdr:col>27</xdr:col>
      <xdr:colOff>47625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349F3C-E7FE-D6D6-ABAC-9C915FC6C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5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24</v>
      </c>
      <c r="B2" t="s">
        <v>30</v>
      </c>
    </row>
    <row r="3" spans="1:6" ht="13.5" thickBot="1" x14ac:dyDescent="0.25"/>
    <row r="4" spans="1:6" ht="14.25" thickTop="1" thickBot="1" x14ac:dyDescent="0.25">
      <c r="A4" s="7" t="s">
        <v>0</v>
      </c>
      <c r="C4" s="3">
        <v>33211.368000000002</v>
      </c>
      <c r="D4" s="4">
        <v>2.7981644000000001</v>
      </c>
    </row>
    <row r="5" spans="1:6" ht="13.5" thickTop="1" x14ac:dyDescent="0.2">
      <c r="A5" s="15" t="s">
        <v>35</v>
      </c>
      <c r="B5" s="12"/>
      <c r="C5" s="16">
        <v>-9.5</v>
      </c>
      <c r="D5" s="12" t="s">
        <v>36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33211.368000000002</v>
      </c>
    </row>
    <row r="8" spans="1:6" x14ac:dyDescent="0.2">
      <c r="A8" t="s">
        <v>3</v>
      </c>
      <c r="C8">
        <f>+D4</f>
        <v>2.7981644000000001</v>
      </c>
    </row>
    <row r="10" spans="1:6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6" x14ac:dyDescent="0.2">
      <c r="A11" s="12" t="s">
        <v>16</v>
      </c>
      <c r="B11" s="12"/>
      <c r="C11" s="12">
        <f>INTERCEPT(G21:G998,F21:F998)</f>
        <v>0.26681027753583153</v>
      </c>
      <c r="D11" s="5"/>
      <c r="E11" s="12"/>
    </row>
    <row r="12" spans="1:6" x14ac:dyDescent="0.2">
      <c r="A12" s="12" t="s">
        <v>17</v>
      </c>
      <c r="B12" s="12"/>
      <c r="C12" s="12">
        <f>SLOPE(G21:G998,F21:F998)</f>
        <v>-2.6393821755454285E-5</v>
      </c>
      <c r="D12" s="5"/>
      <c r="E12" s="12"/>
    </row>
    <row r="13" spans="1:6" x14ac:dyDescent="0.2">
      <c r="A13" s="12" t="s">
        <v>19</v>
      </c>
      <c r="B13" s="12"/>
      <c r="C13" s="5" t="s">
        <v>14</v>
      </c>
    </row>
    <row r="14" spans="1:6" x14ac:dyDescent="0.2">
      <c r="A14" s="12"/>
      <c r="B14" s="12"/>
      <c r="C14" s="12"/>
      <c r="E14" s="19" t="s">
        <v>37</v>
      </c>
      <c r="F14" s="20">
        <f ca="1">TODAY()+15018.5-B5/24</f>
        <v>60357.5</v>
      </c>
    </row>
    <row r="15" spans="1:6" x14ac:dyDescent="0.2">
      <c r="A15" s="17" t="s">
        <v>18</v>
      </c>
      <c r="B15" s="12"/>
      <c r="C15" s="18">
        <f>(C7+C11)+(C8+C12)*INT(MAX(F21:F3533))</f>
        <v>59108.402057457191</v>
      </c>
      <c r="E15" s="19" t="s">
        <v>38</v>
      </c>
      <c r="F15" s="20">
        <f ca="1">ROUND(2*(F14-C15)/C16,0)/2+1</f>
        <v>447.5</v>
      </c>
    </row>
    <row r="16" spans="1:6" x14ac:dyDescent="0.2">
      <c r="A16" s="21" t="s">
        <v>4</v>
      </c>
      <c r="B16" s="12"/>
      <c r="C16" s="22">
        <f>+C8+C12</f>
        <v>2.7981380061782448</v>
      </c>
      <c r="E16" s="19" t="s">
        <v>40</v>
      </c>
      <c r="F16" s="23">
        <f ca="1">+C15+C16*F15-15018.5-C5/24</f>
        <v>45342.464648555295</v>
      </c>
    </row>
    <row r="17" spans="1:17" ht="13.5" thickBot="1" x14ac:dyDescent="0.25">
      <c r="A17" s="19" t="s">
        <v>39</v>
      </c>
      <c r="B17" s="12"/>
      <c r="C17" s="12">
        <f>COUNT(C21:C2191)</f>
        <v>6</v>
      </c>
      <c r="F17" s="46" t="s">
        <v>71</v>
      </c>
    </row>
    <row r="18" spans="1:17" ht="14.25" thickTop="1" thickBot="1" x14ac:dyDescent="0.25">
      <c r="A18" s="21" t="s">
        <v>5</v>
      </c>
      <c r="B18" s="12"/>
      <c r="C18" s="24">
        <f>+C15</f>
        <v>59108.402057457191</v>
      </c>
      <c r="D18" s="25">
        <f>+C16</f>
        <v>2.7981380061782448</v>
      </c>
    </row>
    <row r="19" spans="1:17" ht="13.5" thickTop="1" x14ac:dyDescent="0.2"/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29</v>
      </c>
      <c r="J20" s="9" t="s">
        <v>44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4">
        <f>+C4</f>
        <v>33211.368000000002</v>
      </c>
      <c r="D21" s="14" t="s">
        <v>14</v>
      </c>
      <c r="E21">
        <f t="shared" ref="E21:E26" si="0">+(C21-C$7)/C$8</f>
        <v>0</v>
      </c>
      <c r="F21">
        <f t="shared" ref="F21:F26" si="1">ROUND(2*E21,0)/2</f>
        <v>0</v>
      </c>
      <c r="H21">
        <v>0</v>
      </c>
      <c r="O21">
        <f t="shared" ref="O21:O26" si="2">+C$11+C$12*$F21</f>
        <v>0.26681027753583153</v>
      </c>
      <c r="Q21" s="2">
        <f t="shared" ref="Q21:Q26" si="3">+C21-15018.5</f>
        <v>18192.868000000002</v>
      </c>
    </row>
    <row r="22" spans="1:17" x14ac:dyDescent="0.2">
      <c r="A22" s="10" t="s">
        <v>31</v>
      </c>
      <c r="B22" s="11" t="s">
        <v>32</v>
      </c>
      <c r="C22" s="26">
        <v>52507.584600000002</v>
      </c>
      <c r="D22" s="26">
        <v>4.0000000000000002E-4</v>
      </c>
      <c r="E22">
        <f t="shared" si="0"/>
        <v>6896.0267666903346</v>
      </c>
      <c r="F22">
        <f t="shared" si="1"/>
        <v>6896</v>
      </c>
      <c r="G22">
        <f>+C22-(C$7+F22*C$8)</f>
        <v>7.4897600003168918E-2</v>
      </c>
      <c r="I22">
        <f>+G22</f>
        <v>7.4897600003168918E-2</v>
      </c>
      <c r="O22">
        <f t="shared" si="2"/>
        <v>8.4798482710218781E-2</v>
      </c>
      <c r="Q22" s="2">
        <f t="shared" si="3"/>
        <v>37489.084600000002</v>
      </c>
    </row>
    <row r="23" spans="1:17" x14ac:dyDescent="0.2">
      <c r="A23" s="12" t="s">
        <v>34</v>
      </c>
      <c r="B23" s="13"/>
      <c r="C23" s="14">
        <v>53895.474099999999</v>
      </c>
      <c r="D23" s="14">
        <v>1.4E-3</v>
      </c>
      <c r="E23">
        <f t="shared" si="0"/>
        <v>7392.0267515375426</v>
      </c>
      <c r="F23">
        <f t="shared" si="1"/>
        <v>7392</v>
      </c>
      <c r="G23">
        <f>+C23-(C$7+F23*C$8)</f>
        <v>7.4855199993180577E-2</v>
      </c>
      <c r="I23">
        <f>+G23</f>
        <v>7.4855199993180577E-2</v>
      </c>
      <c r="O23">
        <f t="shared" si="2"/>
        <v>7.1707147119513454E-2</v>
      </c>
      <c r="Q23" s="2">
        <f t="shared" si="3"/>
        <v>38876.974099999999</v>
      </c>
    </row>
    <row r="24" spans="1:17" x14ac:dyDescent="0.2">
      <c r="A24" s="27" t="s">
        <v>41</v>
      </c>
      <c r="B24" s="28" t="s">
        <v>32</v>
      </c>
      <c r="C24" s="29">
        <v>54035.387499999997</v>
      </c>
      <c r="D24" s="14">
        <v>5.0000000000000001E-4</v>
      </c>
      <c r="E24">
        <f t="shared" si="0"/>
        <v>7442.0286027511447</v>
      </c>
      <c r="F24">
        <f t="shared" si="1"/>
        <v>7442</v>
      </c>
      <c r="G24">
        <f>+C24-(C$7+F24*C$8)</f>
        <v>8.0035199993290007E-2</v>
      </c>
      <c r="I24">
        <f>+G24</f>
        <v>8.0035199993290007E-2</v>
      </c>
      <c r="O24">
        <f t="shared" si="2"/>
        <v>7.0387456031740736E-2</v>
      </c>
      <c r="Q24" s="2">
        <f t="shared" si="3"/>
        <v>39016.887499999997</v>
      </c>
    </row>
    <row r="25" spans="1:17" x14ac:dyDescent="0.2">
      <c r="A25" s="43" t="s">
        <v>70</v>
      </c>
      <c r="B25" s="44" t="s">
        <v>32</v>
      </c>
      <c r="C25" s="45">
        <v>59108.40051200008</v>
      </c>
      <c r="D25" s="45">
        <v>4.7860000000000003E-3</v>
      </c>
      <c r="E25">
        <f t="shared" si="0"/>
        <v>9255.0075013462665</v>
      </c>
      <c r="F25">
        <f t="shared" si="1"/>
        <v>9255</v>
      </c>
      <c r="G25">
        <f>+C25-(C$7+F25*C$8)</f>
        <v>2.099000007729046E-2</v>
      </c>
      <c r="I25">
        <f>+G25</f>
        <v>2.099000007729046E-2</v>
      </c>
      <c r="O25">
        <f t="shared" si="2"/>
        <v>2.2535457189102132E-2</v>
      </c>
      <c r="Q25" s="2">
        <f t="shared" si="3"/>
        <v>44089.90051200008</v>
      </c>
    </row>
    <row r="26" spans="1:17" x14ac:dyDescent="0.2">
      <c r="A26" s="43" t="s">
        <v>70</v>
      </c>
      <c r="B26" s="44" t="s">
        <v>32</v>
      </c>
      <c r="C26" s="45">
        <v>59108.400708000176</v>
      </c>
      <c r="D26" s="45">
        <v>9.6989999999999993E-3</v>
      </c>
      <c r="E26">
        <f t="shared" si="0"/>
        <v>9255.0075713922215</v>
      </c>
      <c r="F26">
        <f t="shared" si="1"/>
        <v>9255</v>
      </c>
      <c r="G26">
        <f>+C26-(C$7+F26*C$8)</f>
        <v>2.1186000172747299E-2</v>
      </c>
      <c r="I26">
        <f>+G26</f>
        <v>2.1186000172747299E-2</v>
      </c>
      <c r="O26">
        <f t="shared" si="2"/>
        <v>2.2535457189102132E-2</v>
      </c>
      <c r="Q26" s="2">
        <f t="shared" si="3"/>
        <v>44089.900708000176</v>
      </c>
    </row>
    <row r="27" spans="1:17" x14ac:dyDescent="0.2">
      <c r="C27" s="14"/>
      <c r="D27" s="14"/>
      <c r="Q27" s="2"/>
    </row>
    <row r="28" spans="1:17" x14ac:dyDescent="0.2">
      <c r="C28" s="14"/>
      <c r="D28" s="14"/>
      <c r="Q28" s="2"/>
    </row>
    <row r="29" spans="1:17" x14ac:dyDescent="0.2">
      <c r="C29" s="14"/>
      <c r="D29" s="14"/>
      <c r="Q29" s="2"/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rotectedRanges>
    <protectedRange sqref="A25:D2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workbookViewId="0">
      <selection activeCell="A11" sqref="A11:IV448"/>
    </sheetView>
  </sheetViews>
  <sheetFormatPr defaultRowHeight="12.75" x14ac:dyDescent="0.2"/>
  <cols>
    <col min="1" max="1" width="19.7109375" style="14" customWidth="1"/>
    <col min="2" max="2" width="4.42578125" style="12" customWidth="1"/>
    <col min="3" max="3" width="12.7109375" style="14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4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0" t="s">
        <v>42</v>
      </c>
      <c r="I1" s="31" t="s">
        <v>43</v>
      </c>
      <c r="J1" s="32" t="s">
        <v>44</v>
      </c>
    </row>
    <row r="2" spans="1:16" x14ac:dyDescent="0.2">
      <c r="I2" s="33" t="s">
        <v>45</v>
      </c>
      <c r="J2" s="34" t="s">
        <v>46</v>
      </c>
    </row>
    <row r="3" spans="1:16" x14ac:dyDescent="0.2">
      <c r="A3" s="35" t="s">
        <v>47</v>
      </c>
      <c r="I3" s="33" t="s">
        <v>48</v>
      </c>
      <c r="J3" s="34" t="s">
        <v>49</v>
      </c>
    </row>
    <row r="4" spans="1:16" x14ac:dyDescent="0.2">
      <c r="I4" s="33" t="s">
        <v>50</v>
      </c>
      <c r="J4" s="34" t="s">
        <v>49</v>
      </c>
    </row>
    <row r="5" spans="1:16" ht="13.5" thickBot="1" x14ac:dyDescent="0.25">
      <c r="I5" s="36" t="s">
        <v>51</v>
      </c>
      <c r="J5" s="37" t="s">
        <v>52</v>
      </c>
    </row>
    <row r="10" spans="1:16" ht="13.5" thickBot="1" x14ac:dyDescent="0.25"/>
    <row r="11" spans="1:16" ht="12.75" customHeight="1" thickBot="1" x14ac:dyDescent="0.25">
      <c r="A11" s="14" t="str">
        <f>P11</f>
        <v>IBVS 5594 </v>
      </c>
      <c r="B11" s="5" t="str">
        <f>IF(H11=INT(H11),"I","II")</f>
        <v>I</v>
      </c>
      <c r="C11" s="14">
        <f>1*G11</f>
        <v>52507.584600000002</v>
      </c>
      <c r="D11" s="12" t="str">
        <f>VLOOKUP(F11,I$1:J$5,2,FALSE)</f>
        <v>vis</v>
      </c>
      <c r="E11" s="38">
        <f>VLOOKUP(C11,Active!C$21:E$973,3,FALSE)</f>
        <v>6896.0267666903346</v>
      </c>
      <c r="F11" s="5" t="s">
        <v>51</v>
      </c>
      <c r="G11" s="12" t="str">
        <f>MID(I11,3,LEN(I11)-3)</f>
        <v>52507.5846</v>
      </c>
      <c r="H11" s="14">
        <f>1*K11</f>
        <v>6896</v>
      </c>
      <c r="I11" s="39" t="s">
        <v>53</v>
      </c>
      <c r="J11" s="40" t="s">
        <v>54</v>
      </c>
      <c r="K11" s="39">
        <v>6896</v>
      </c>
      <c r="L11" s="39" t="s">
        <v>55</v>
      </c>
      <c r="M11" s="40" t="s">
        <v>56</v>
      </c>
      <c r="N11" s="40" t="s">
        <v>57</v>
      </c>
      <c r="O11" s="41" t="s">
        <v>58</v>
      </c>
      <c r="P11" s="42" t="s">
        <v>59</v>
      </c>
    </row>
    <row r="12" spans="1:16" ht="12.75" customHeight="1" thickBot="1" x14ac:dyDescent="0.25">
      <c r="A12" s="14" t="str">
        <f>P12</f>
        <v>BAVM 178 </v>
      </c>
      <c r="B12" s="5" t="str">
        <f>IF(H12=INT(H12),"I","II")</f>
        <v>I</v>
      </c>
      <c r="C12" s="14">
        <f>1*G12</f>
        <v>53895.474099999999</v>
      </c>
      <c r="D12" s="12" t="str">
        <f>VLOOKUP(F12,I$1:J$5,2,FALSE)</f>
        <v>vis</v>
      </c>
      <c r="E12" s="38">
        <f>VLOOKUP(C12,Active!C$21:E$973,3,FALSE)</f>
        <v>7392.0267515375426</v>
      </c>
      <c r="F12" s="5" t="s">
        <v>51</v>
      </c>
      <c r="G12" s="12" t="str">
        <f>MID(I12,3,LEN(I12)-3)</f>
        <v>53895.4741</v>
      </c>
      <c r="H12" s="14">
        <f>1*K12</f>
        <v>7392</v>
      </c>
      <c r="I12" s="39" t="s">
        <v>60</v>
      </c>
      <c r="J12" s="40" t="s">
        <v>61</v>
      </c>
      <c r="K12" s="39">
        <v>7392</v>
      </c>
      <c r="L12" s="39" t="s">
        <v>55</v>
      </c>
      <c r="M12" s="40" t="s">
        <v>56</v>
      </c>
      <c r="N12" s="40" t="s">
        <v>62</v>
      </c>
      <c r="O12" s="41" t="s">
        <v>63</v>
      </c>
      <c r="P12" s="42" t="s">
        <v>64</v>
      </c>
    </row>
    <row r="13" spans="1:16" ht="12.75" customHeight="1" thickBot="1" x14ac:dyDescent="0.25">
      <c r="A13" s="14" t="str">
        <f>P13</f>
        <v>BAVM 183 </v>
      </c>
      <c r="B13" s="5" t="str">
        <f>IF(H13=INT(H13),"I","II")</f>
        <v>I</v>
      </c>
      <c r="C13" s="14">
        <f>1*G13</f>
        <v>54035.387499999997</v>
      </c>
      <c r="D13" s="12" t="str">
        <f>VLOOKUP(F13,I$1:J$5,2,FALSE)</f>
        <v>vis</v>
      </c>
      <c r="E13" s="38">
        <f>VLOOKUP(C13,Active!C$21:E$973,3,FALSE)</f>
        <v>7442.0286027511447</v>
      </c>
      <c r="F13" s="5" t="s">
        <v>51</v>
      </c>
      <c r="G13" s="12" t="str">
        <f>MID(I13,3,LEN(I13)-3)</f>
        <v>54035.3875</v>
      </c>
      <c r="H13" s="14">
        <f>1*K13</f>
        <v>7442</v>
      </c>
      <c r="I13" s="39" t="s">
        <v>65</v>
      </c>
      <c r="J13" s="40" t="s">
        <v>66</v>
      </c>
      <c r="K13" s="39" t="s">
        <v>67</v>
      </c>
      <c r="L13" s="39" t="s">
        <v>68</v>
      </c>
      <c r="M13" s="40" t="s">
        <v>56</v>
      </c>
      <c r="N13" s="40" t="s">
        <v>62</v>
      </c>
      <c r="O13" s="41" t="s">
        <v>63</v>
      </c>
      <c r="P13" s="42" t="s">
        <v>69</v>
      </c>
    </row>
    <row r="14" spans="1:16" x14ac:dyDescent="0.2">
      <c r="B14" s="5"/>
      <c r="E14" s="38"/>
      <c r="F14" s="5"/>
    </row>
    <row r="15" spans="1:16" x14ac:dyDescent="0.2">
      <c r="B15" s="5"/>
      <c r="E15" s="38"/>
      <c r="F15" s="5"/>
    </row>
    <row r="16" spans="1:16" x14ac:dyDescent="0.2">
      <c r="B16" s="5"/>
      <c r="E16" s="38"/>
      <c r="F16" s="5"/>
    </row>
    <row r="17" spans="2:6" x14ac:dyDescent="0.2">
      <c r="B17" s="5"/>
      <c r="E17" s="38"/>
      <c r="F17" s="5"/>
    </row>
    <row r="18" spans="2:6" x14ac:dyDescent="0.2">
      <c r="B18" s="5"/>
      <c r="E18" s="38"/>
      <c r="F18" s="5"/>
    </row>
    <row r="19" spans="2:6" x14ac:dyDescent="0.2">
      <c r="B19" s="5"/>
      <c r="E19" s="38"/>
      <c r="F19" s="5"/>
    </row>
    <row r="20" spans="2:6" x14ac:dyDescent="0.2">
      <c r="B20" s="5"/>
      <c r="E20" s="38"/>
      <c r="F20" s="5"/>
    </row>
    <row r="21" spans="2:6" x14ac:dyDescent="0.2">
      <c r="B21" s="5"/>
      <c r="E21" s="38"/>
      <c r="F21" s="5"/>
    </row>
    <row r="22" spans="2:6" x14ac:dyDescent="0.2">
      <c r="B22" s="5"/>
      <c r="E22" s="38"/>
      <c r="F22" s="5"/>
    </row>
    <row r="23" spans="2:6" x14ac:dyDescent="0.2">
      <c r="B23" s="5"/>
      <c r="E23" s="38"/>
      <c r="F23" s="5"/>
    </row>
    <row r="24" spans="2:6" x14ac:dyDescent="0.2">
      <c r="B24" s="5"/>
      <c r="E24" s="38"/>
      <c r="F24" s="5"/>
    </row>
    <row r="25" spans="2:6" x14ac:dyDescent="0.2">
      <c r="B25" s="5"/>
      <c r="E25" s="38"/>
      <c r="F25" s="5"/>
    </row>
    <row r="26" spans="2:6" x14ac:dyDescent="0.2">
      <c r="B26" s="5"/>
      <c r="E26" s="38"/>
      <c r="F26" s="5"/>
    </row>
    <row r="27" spans="2:6" x14ac:dyDescent="0.2">
      <c r="B27" s="5"/>
      <c r="F27" s="5"/>
    </row>
    <row r="28" spans="2:6" x14ac:dyDescent="0.2">
      <c r="B28" s="5"/>
      <c r="F28" s="5"/>
    </row>
    <row r="29" spans="2:6" x14ac:dyDescent="0.2">
      <c r="B29" s="5"/>
      <c r="F29" s="5"/>
    </row>
    <row r="30" spans="2:6" x14ac:dyDescent="0.2">
      <c r="B30" s="5"/>
      <c r="F30" s="5"/>
    </row>
    <row r="31" spans="2:6" x14ac:dyDescent="0.2">
      <c r="B31" s="5"/>
      <c r="F31" s="5"/>
    </row>
    <row r="32" spans="2: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</sheetData>
  <phoneticPr fontId="8" type="noConversion"/>
  <hyperlinks>
    <hyperlink ref="P11" r:id="rId1" display="http://www.konkoly.hu/cgi-bin/IBVS?5594"/>
    <hyperlink ref="P12" r:id="rId2" display="http://www.bav-astro.de/sfs/BAVM_link.php?BAVMnr=178"/>
    <hyperlink ref="P13" r:id="rId3" display="http://www.bav-astro.de/sfs/BAVM_link.php?BAVMnr=1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2024-02-17T02:54:13Z</dcterms:modified>
</cp:coreProperties>
</file>