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5072C05-7900-4442-ADDD-2794CCFFCCE1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E24" i="1"/>
  <c r="F24" i="1" s="1"/>
  <c r="G24" i="1" s="1"/>
  <c r="E26" i="1"/>
  <c r="F26" i="1"/>
  <c r="G26" i="1" s="1"/>
  <c r="E21" i="1"/>
  <c r="F21" i="1" s="1"/>
  <c r="G21" i="1" s="1"/>
  <c r="Q22" i="1"/>
  <c r="Q23" i="1"/>
  <c r="Q24" i="1"/>
  <c r="Q25" i="1"/>
  <c r="Q26" i="1"/>
  <c r="Q27" i="1"/>
  <c r="C13" i="1"/>
  <c r="F12" i="1"/>
  <c r="D14" i="1"/>
  <c r="D13" i="1"/>
  <c r="C14" i="1"/>
  <c r="C17" i="1"/>
  <c r="Q21" i="1"/>
  <c r="E27" i="1"/>
  <c r="F27" i="1" s="1"/>
  <c r="G27" i="1" s="1"/>
  <c r="E25" i="1"/>
  <c r="F25" i="1"/>
  <c r="G25" i="1" s="1"/>
  <c r="E23" i="1"/>
  <c r="F23" i="1" s="1"/>
  <c r="G23" i="1" s="1"/>
  <c r="I25" i="1" l="1"/>
  <c r="R25" i="1"/>
  <c r="I23" i="1"/>
  <c r="R23" i="1"/>
  <c r="J27" i="1"/>
  <c r="S27" i="1"/>
  <c r="I21" i="1"/>
  <c r="R21" i="1"/>
  <c r="R26" i="1"/>
  <c r="J26" i="1"/>
  <c r="S24" i="1"/>
  <c r="K24" i="1"/>
  <c r="I22" i="1"/>
  <c r="R22" i="1"/>
  <c r="F13" i="1"/>
  <c r="D11" i="1"/>
  <c r="D12" i="1"/>
  <c r="C12" i="1"/>
  <c r="C11" i="1"/>
  <c r="O22" i="1" l="1"/>
  <c r="O26" i="1"/>
  <c r="C15" i="1"/>
  <c r="C18" i="1" s="1"/>
  <c r="O24" i="1"/>
  <c r="O23" i="1"/>
  <c r="O25" i="1"/>
  <c r="O21" i="1"/>
  <c r="O27" i="1"/>
  <c r="C16" i="1"/>
  <c r="D18" i="1" s="1"/>
  <c r="D16" i="1"/>
  <c r="D19" i="1" s="1"/>
  <c r="P24" i="1"/>
  <c r="P23" i="1"/>
  <c r="P21" i="1"/>
  <c r="P26" i="1"/>
  <c r="P27" i="1"/>
  <c r="P22" i="1"/>
  <c r="D15" i="1"/>
  <c r="C19" i="1" s="1"/>
  <c r="P25" i="1"/>
  <c r="R19" i="1"/>
  <c r="E18" i="1" s="1"/>
  <c r="S19" i="1"/>
  <c r="E19" i="1" s="1"/>
  <c r="F14" i="1" l="1"/>
  <c r="F15" i="1" s="1"/>
</calcChain>
</file>

<file path=xl/sharedStrings.xml><?xml version="1.0" encoding="utf-8"?>
<sst xmlns="http://schemas.openxmlformats.org/spreadsheetml/2006/main" count="74" uniqueCount="58">
  <si>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</si>
  <si>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</si>
  <si>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</si>
  <si>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</si>
  <si>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</si>
  <si>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</si>
  <si>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</si>
  <si>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</si>
  <si>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</si>
  <si>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</si>
  <si>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</si>
  <si>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</si>
  <si>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</si>
  <si>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</si>
  <si>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</si>
  <si>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</si>
  <si>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</si>
  <si>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</si>
  <si>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</si>
  <si>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</si>
  <si>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</si>
  <si>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</si>
  <si>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</si>
  <si>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</si>
  <si>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</si>
  <si>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</si>
  <si>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</si>
  <si>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</si>
  <si>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</si>
  <si>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</si>
  <si>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</si>
  <si>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</si>
  <si>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</si>
  <si>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</si>
  <si>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</si>
  <si>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</si>
  <si>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</si>
  <si>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</si>
  <si>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</si>
  <si>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OT Lac</t>
  </si>
  <si>
    <t>2017i</t>
  </si>
  <si>
    <t>G03991-2201</t>
  </si>
  <si>
    <t>E</t>
  </si>
  <si>
    <t>B5</t>
  </si>
  <si>
    <t>not avail.</t>
  </si>
  <si>
    <t>as of 2019-07-05</t>
  </si>
  <si>
    <t>VSX</t>
  </si>
  <si>
    <t>VSB-059</t>
  </si>
  <si>
    <t>I</t>
  </si>
  <si>
    <t>V</t>
  </si>
  <si>
    <t>OEJV 0191</t>
  </si>
  <si>
    <t>II</t>
  </si>
  <si>
    <t>pg</t>
  </si>
  <si>
    <t>vis</t>
  </si>
  <si>
    <t>PE</t>
  </si>
  <si>
    <t>CCD</t>
  </si>
  <si>
    <t>OT Lac / GSC 3991-2201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</si>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</sst>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7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5" fillId="0" borderId="1" xfId="0" applyFont="1" applyBorder="1">
      <alignment vertical="top"/>
    </xf>
    <xf numFmtId="0" fontId="6" fillId="2" borderId="1" xfId="0" applyFont="1" applyFill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0" borderId="1" xfId="0" applyFont="1" applyBorder="1">
      <alignment vertical="top"/>
    </xf>
    <xf numFmtId="0" fontId="8" fillId="0" borderId="1" xfId="0" applyFont="1" applyBorder="1" applyAlignment="1">
      <alignment horizontal="left"/>
    </xf>
    <xf numFmtId="0" fontId="8" fillId="3" borderId="1" xfId="0" applyFont="1" applyFill="1" applyBorder="1">
      <alignment vertical="top"/>
    </xf>
    <xf numFmtId="0" fontId="9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0" borderId="0" xfId="0" applyFont="1" applyAlignment="1"/>
    <xf numFmtId="0" fontId="9" fillId="0" borderId="0" xfId="0" applyFont="1" applyAlignment="1">
      <alignment horizontal="left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_1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Lac - O-C Diagr.</a:t>
            </a:r>
          </a:p>
        </c:rich>
      </c:tx>
      <c:layout>
        <c:manualLayout>
          <c:xMode val="edge"/>
          <c:yMode val="edge"/>
          <c:x val="0.3790322580645161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90322580645160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1'!$C$21:$C$494</c:f>
                <c:numCache>
                  <c:formatCode>General</c:formatCode>
                  <c:ptCount val="474"/>
                  <c:pt idx="0">
                    <c:v>56917.662000000011</c:v>
                  </c:pt>
                  <c:pt idx="1">
                    <c:v>56928.049200000001</c:v>
                  </c:pt>
                  <c:pt idx="2">
                    <c:v>56928.051899999846</c:v>
                  </c:pt>
                  <c:pt idx="3">
                    <c:v>56935.467399999965</c:v>
                  </c:pt>
                  <c:pt idx="4">
                    <c:v>56959.370500000194</c:v>
                  </c:pt>
                  <c:pt idx="5">
                    <c:v>57710.821000000004</c:v>
                  </c:pt>
                  <c:pt idx="6">
                    <c:v>58228.097000000002</c:v>
                  </c:pt>
                </c:numCache>
              </c:numRef>
            </c:plus>
            <c:minus>
              <c:numRef>
                <c:f>'Active 1'!$C$21:$C$494</c:f>
                <c:numCache>
                  <c:formatCode>General</c:formatCode>
                  <c:ptCount val="474"/>
                  <c:pt idx="0">
                    <c:v>56917.662000000011</c:v>
                  </c:pt>
                  <c:pt idx="1">
                    <c:v>56928.049200000001</c:v>
                  </c:pt>
                  <c:pt idx="2">
                    <c:v>56928.051899999846</c:v>
                  </c:pt>
                  <c:pt idx="3">
                    <c:v>56935.467399999965</c:v>
                  </c:pt>
                  <c:pt idx="4">
                    <c:v>56959.370500000194</c:v>
                  </c:pt>
                  <c:pt idx="5">
                    <c:v>57710.821000000004</c:v>
                  </c:pt>
                  <c:pt idx="6">
                    <c:v>58228.097000000002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8F-494F-8D50-C2C6353CD18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0">
                  <c:v>-8.7359999990439974E-2</c:v>
                </c:pt>
                <c:pt idx="1">
                  <c:v>0</c:v>
                </c:pt>
                <c:pt idx="2">
                  <c:v>2.6999998444807716E-3</c:v>
                </c:pt>
                <c:pt idx="4">
                  <c:v>0.42178000019339379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8F-494F-8D50-C2C6353CD18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5">
                  <c:v>-1.6039999994973186E-2</c:v>
                </c:pt>
                <c:pt idx="6">
                  <c:v>-0.30700000000069849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8F-494F-8D50-C2C6353CD18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3">
                  <c:v>-0.3066800000378862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8F-494F-8D50-C2C6353CD18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8F-494F-8D50-C2C6353CD18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8F-494F-8D50-C2C6353CD18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8F-494F-8D50-C2C6353CD18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8.1927660869673596E-2</c:v>
                </c:pt>
                <c:pt idx="1">
                  <c:v>8.0860693348036167E-2</c:v>
                </c:pt>
                <c:pt idx="2">
                  <c:v>8.0860693348036167E-2</c:v>
                </c:pt>
                <c:pt idx="3">
                  <c:v>8.0060467706808094E-2</c:v>
                </c:pt>
                <c:pt idx="4">
                  <c:v>7.7659790783123878E-2</c:v>
                </c:pt>
                <c:pt idx="5">
                  <c:v>-2.288382964084068E-4</c:v>
                </c:pt>
                <c:pt idx="6">
                  <c:v>-5.3843956258689207E-2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8F-494F-8D50-C2C6353CD185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-0.3066755378870103</c:v>
                </c:pt>
                <c:pt idx="1">
                  <c:v>-0.30667808768751081</c:v>
                </c:pt>
                <c:pt idx="2">
                  <c:v>-0.30667808768751081</c:v>
                </c:pt>
                <c:pt idx="3">
                  <c:v>-0.3066800000378862</c:v>
                </c:pt>
                <c:pt idx="4">
                  <c:v>-0.30668573708901231</c:v>
                </c:pt>
                <c:pt idx="5">
                  <c:v>-0.30687187252554854</c:v>
                </c:pt>
                <c:pt idx="6">
                  <c:v>-0.30700000000069849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8F-494F-8D50-C2C6353C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359024"/>
        <c:axId val="1"/>
      </c:scatterChart>
      <c:valAx>
        <c:axId val="694359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258064516129035"/>
              <c:y val="0.90577507598784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359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645161290322578E-3"/>
          <c:y val="0.91489361702127658"/>
          <c:w val="0.803225806451612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Lac - Prim. O-C Diagr.</a:t>
            </a:r>
          </a:p>
        </c:rich>
      </c:tx>
      <c:layout>
        <c:manualLayout>
          <c:xMode val="edge"/>
          <c:yMode val="edge"/>
          <c:x val="0.2993765176442341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3267792591"/>
          <c:y val="0.14634168126798494"/>
          <c:w val="0.78586358362256326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-8.7359999990439974E-2</c:v>
                </c:pt>
                <c:pt idx="1">
                  <c:v>0</c:v>
                </c:pt>
                <c:pt idx="2">
                  <c:v>2.6999998444807716E-3</c:v>
                </c:pt>
                <c:pt idx="4">
                  <c:v>0.42178000019339379</c:v>
                </c:pt>
                <c:pt idx="5">
                  <c:v>-1.6039999994973186E-2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40-4DC6-B19D-443D3A00BA5A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8.1927660869673596E-2</c:v>
                </c:pt>
                <c:pt idx="1">
                  <c:v>8.0860693348036167E-2</c:v>
                </c:pt>
                <c:pt idx="2">
                  <c:v>8.0860693348036167E-2</c:v>
                </c:pt>
                <c:pt idx="3">
                  <c:v>8.0060467706808094E-2</c:v>
                </c:pt>
                <c:pt idx="4">
                  <c:v>7.7659790783123878E-2</c:v>
                </c:pt>
                <c:pt idx="5">
                  <c:v>-2.288382964084068E-4</c:v>
                </c:pt>
                <c:pt idx="6">
                  <c:v>-5.3843956258689207E-2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40-4DC6-B19D-443D3A00B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836448"/>
        <c:axId val="1"/>
      </c:scatterChart>
      <c:valAx>
        <c:axId val="749836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879625233955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836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540584194127499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Lac - Sec. O-C Diagr.</a:t>
            </a:r>
          </a:p>
        </c:rich>
      </c:tx>
      <c:layout>
        <c:manualLayout>
          <c:xMode val="edge"/>
          <c:yMode val="edge"/>
          <c:x val="0.308163479565054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16347273942995"/>
          <c:y val="0.1458966565349544"/>
          <c:w val="0.74081706474914777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3">
                  <c:v>-0.3066800000378862</c:v>
                </c:pt>
                <c:pt idx="6">
                  <c:v>-0.30700000000069849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1B-4364-9309-BEA543D30115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</c:v>
                </c:pt>
                <c:pt idx="1">
                  <c:v>0</c:v>
                </c:pt>
                <c:pt idx="2">
                  <c:v>0</c:v>
                </c:pt>
                <c:pt idx="3">
                  <c:v>1.5</c:v>
                </c:pt>
                <c:pt idx="4">
                  <c:v>6</c:v>
                </c:pt>
                <c:pt idx="5">
                  <c:v>152</c:v>
                </c:pt>
                <c:pt idx="6">
                  <c:v>252.5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-0.3066755378870103</c:v>
                </c:pt>
                <c:pt idx="1">
                  <c:v>-0.30667808768751081</c:v>
                </c:pt>
                <c:pt idx="2">
                  <c:v>-0.30667808768751081</c:v>
                </c:pt>
                <c:pt idx="3">
                  <c:v>-0.3066800000378862</c:v>
                </c:pt>
                <c:pt idx="4">
                  <c:v>-0.30668573708901231</c:v>
                </c:pt>
                <c:pt idx="5">
                  <c:v>-0.30687187252554854</c:v>
                </c:pt>
                <c:pt idx="6">
                  <c:v>-0.30700000000069849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1B-4364-9309-BEA543D30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22048"/>
        <c:axId val="1"/>
      </c:scatterChart>
      <c:valAx>
        <c:axId val="685122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8980234613530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22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224532647704748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</xdr:colOff>
      <xdr:row>0</xdr:row>
      <xdr:rowOff>0</xdr:rowOff>
    </xdr:from>
    <xdr:to>
      <xdr:col>17</xdr:col>
      <xdr:colOff>647699</xdr:colOff>
      <xdr:row>18</xdr:row>
      <xdr:rowOff>152400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D3B5FEBC-17A1-684E-5F07-651009ED9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47624</xdr:rowOff>
    </xdr:from>
    <xdr:to>
      <xdr:col>12</xdr:col>
      <xdr:colOff>542925</xdr:colOff>
      <xdr:row>20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6F8346-05F7-3AFE-8903-D577B5D0B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247649</xdr:colOff>
      <xdr:row>21</xdr:row>
      <xdr:rowOff>47625</xdr:rowOff>
    </xdr:from>
    <xdr:to>
      <xdr:col>13</xdr:col>
      <xdr:colOff>9524</xdr:colOff>
      <xdr:row>41</xdr:row>
      <xdr:rowOff>95250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89806410-8767-1667-1F66-D58D6EADB3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56</v>
      </c>
      <c r="F1" s="36" t="s">
        <v>39</v>
      </c>
      <c r="G1" s="37" t="s">
        <v>40</v>
      </c>
      <c r="H1" s="38">
        <v>1</v>
      </c>
      <c r="I1" s="39" t="s">
        <v>41</v>
      </c>
      <c r="J1" s="40" t="s">
        <v>39</v>
      </c>
      <c r="K1" s="41">
        <v>22.364470000000001</v>
      </c>
      <c r="L1" s="42">
        <v>56.4407</v>
      </c>
      <c r="M1" s="43">
        <v>56928.049200000001</v>
      </c>
      <c r="N1" s="43">
        <v>5.1499199999999998</v>
      </c>
      <c r="O1" s="44" t="s">
        <v>42</v>
      </c>
      <c r="P1" s="45">
        <v>11.2</v>
      </c>
      <c r="Q1" s="45">
        <v>11.9</v>
      </c>
      <c r="R1" s="46"/>
      <c r="S1" s="44" t="s">
        <v>43</v>
      </c>
    </row>
    <row r="2" spans="1:19" x14ac:dyDescent="0.2">
      <c r="A2" t="s">
        <v>16</v>
      </c>
      <c r="B2" t="s">
        <v>42</v>
      </c>
      <c r="C2" s="47"/>
      <c r="D2" s="13"/>
    </row>
    <row r="3" spans="1:19" ht="13.5" thickBot="1" x14ac:dyDescent="0.25"/>
    <row r="4" spans="1:19" ht="14.25" thickTop="1" thickBot="1" x14ac:dyDescent="0.25">
      <c r="A4" s="6" t="s">
        <v>0</v>
      </c>
      <c r="C4" s="48" t="s">
        <v>44</v>
      </c>
      <c r="D4" s="49" t="s">
        <v>44</v>
      </c>
      <c r="E4" s="50" t="s">
        <v>45</v>
      </c>
    </row>
    <row r="5" spans="1:19" ht="13.5" thickTop="1" x14ac:dyDescent="0.2">
      <c r="A5" s="29" t="s">
        <v>31</v>
      </c>
      <c r="B5" s="23"/>
      <c r="C5" s="30">
        <v>-9.5</v>
      </c>
      <c r="D5" s="23" t="s">
        <v>32</v>
      </c>
      <c r="E5" s="23"/>
    </row>
    <row r="6" spans="1:19" x14ac:dyDescent="0.2">
      <c r="A6" s="6" t="s">
        <v>1</v>
      </c>
    </row>
    <row r="7" spans="1:19" x14ac:dyDescent="0.2">
      <c r="A7" t="s">
        <v>2</v>
      </c>
      <c r="C7" s="56">
        <v>56928.049200000001</v>
      </c>
      <c r="D7" s="51" t="s">
        <v>46</v>
      </c>
    </row>
    <row r="8" spans="1:19" x14ac:dyDescent="0.2">
      <c r="A8" t="s">
        <v>3</v>
      </c>
      <c r="C8" s="56">
        <v>5.1499199999999998</v>
      </c>
      <c r="D8" s="51" t="s">
        <v>46</v>
      </c>
    </row>
    <row r="9" spans="1:19" x14ac:dyDescent="0.2">
      <c r="A9" s="21" t="s">
        <v>28</v>
      </c>
      <c r="B9" s="21"/>
      <c r="C9" s="22">
        <v>21</v>
      </c>
      <c r="D9" s="22">
        <v>21</v>
      </c>
    </row>
    <row r="10" spans="1:19" ht="13.5" thickBot="1" x14ac:dyDescent="0.25">
      <c r="A10" s="23"/>
      <c r="B10" s="23"/>
      <c r="C10" s="5" t="s">
        <v>18</v>
      </c>
      <c r="D10" s="5" t="s">
        <v>19</v>
      </c>
    </row>
    <row r="11" spans="1:19" x14ac:dyDescent="0.2">
      <c r="A11" s="23" t="s">
        <v>13</v>
      </c>
      <c r="B11" s="23"/>
      <c r="C11" s="24">
        <f ca="1">INTERCEPT(INDIRECT(C14):R$935,INDIRECT(C13):$F$935)</f>
        <v>8.0860693348036167E-2</v>
      </c>
      <c r="D11" s="24">
        <f ca="1">INTERCEPT(INDIRECT(D14):S$935,INDIRECT(D13):$F$935)</f>
        <v>-0.30667808768751081</v>
      </c>
      <c r="E11" s="21" t="s">
        <v>34</v>
      </c>
      <c r="F11">
        <v>1</v>
      </c>
    </row>
    <row r="12" spans="1:19" x14ac:dyDescent="0.2">
      <c r="A12" s="23" t="s">
        <v>14</v>
      </c>
      <c r="B12" s="23"/>
      <c r="C12" s="24">
        <f ca="1">SLOPE(INDIRECT(C14):R$935,INDIRECT(C13):$F$935)</f>
        <v>-5.3348376081871431E-4</v>
      </c>
      <c r="D12" s="24">
        <f ca="1">SLOPE(INDIRECT(D14):S$935,INDIRECT(D13):$F$935)</f>
        <v>-1.2749002502481657E-6</v>
      </c>
      <c r="E12" s="21" t="s">
        <v>35</v>
      </c>
      <c r="F12" s="31">
        <f ca="1">NOW()+15018.5+$C$5/24</f>
        <v>60357.670097916664</v>
      </c>
    </row>
    <row r="13" spans="1:19" x14ac:dyDescent="0.2">
      <c r="A13" s="21" t="s">
        <v>29</v>
      </c>
      <c r="B13" s="21"/>
      <c r="C13" s="22" t="str">
        <f>"F"&amp;C9</f>
        <v>F21</v>
      </c>
      <c r="D13" s="22" t="str">
        <f>"F"&amp;D9</f>
        <v>F21</v>
      </c>
      <c r="E13" s="21" t="s">
        <v>36</v>
      </c>
      <c r="F13" s="31">
        <f ca="1">ROUND(2*(F12-$C$7)/$C$8,0)/2+F11</f>
        <v>667</v>
      </c>
    </row>
    <row r="14" spans="1:19" x14ac:dyDescent="0.2">
      <c r="A14" s="21" t="s">
        <v>30</v>
      </c>
      <c r="B14" s="21"/>
      <c r="C14" s="22" t="str">
        <f>"R"&amp;C9</f>
        <v>R21</v>
      </c>
      <c r="D14" s="22" t="str">
        <f>"S"&amp;D9</f>
        <v>S21</v>
      </c>
      <c r="E14" s="21" t="s">
        <v>37</v>
      </c>
      <c r="F14" s="32">
        <f ca="1">ROUND(2*(F12-$C$15)/$C$16,0)/2+F11</f>
        <v>415</v>
      </c>
    </row>
    <row r="15" spans="1:19" x14ac:dyDescent="0.2">
      <c r="A15" s="25" t="s">
        <v>15</v>
      </c>
      <c r="B15" s="23"/>
      <c r="C15" s="26">
        <f ca="1">($C7+C11)+($C8+C12)*INT(MAX($F21:$F3533))</f>
        <v>58225.775462785627</v>
      </c>
      <c r="D15" s="26">
        <f ca="1">($C7+D11)+($C8+D12)*INT(MAX($F21:$F3533))</f>
        <v>58225.52204063745</v>
      </c>
      <c r="E15" s="21" t="s">
        <v>38</v>
      </c>
      <c r="F15" s="33">
        <f ca="1">+$C$15+$C$16*F14-15018.5-$C$5/24</f>
        <v>45344.666700358219</v>
      </c>
    </row>
    <row r="16" spans="1:19" x14ac:dyDescent="0.2">
      <c r="A16" s="27" t="s">
        <v>4</v>
      </c>
      <c r="B16" s="23"/>
      <c r="C16" s="28">
        <f ca="1">+$C8+C12</f>
        <v>5.149386516239181</v>
      </c>
      <c r="D16" s="24">
        <f ca="1">+$C8+D12</f>
        <v>5.1499187250997496</v>
      </c>
      <c r="E16" s="34"/>
      <c r="F16" s="34" t="s">
        <v>33</v>
      </c>
    </row>
    <row r="17" spans="1:21" ht="13.5" thickBot="1" x14ac:dyDescent="0.25">
      <c r="A17" s="20" t="s">
        <v>27</v>
      </c>
      <c r="C17">
        <f>COUNT(C21:C1247)</f>
        <v>7</v>
      </c>
    </row>
    <row r="18" spans="1:21" ht="14.25" thickTop="1" thickBot="1" x14ac:dyDescent="0.25">
      <c r="A18" s="6" t="s">
        <v>21</v>
      </c>
      <c r="C18" s="3">
        <f ca="1">+C15</f>
        <v>58225.775462785627</v>
      </c>
      <c r="D18" s="4">
        <f ca="1">+C16</f>
        <v>5.149386516239181</v>
      </c>
      <c r="E18" s="35">
        <f>R19</f>
        <v>5</v>
      </c>
    </row>
    <row r="19" spans="1:21" ht="14.25" thickTop="1" thickBot="1" x14ac:dyDescent="0.25">
      <c r="A19" s="6" t="s">
        <v>22</v>
      </c>
      <c r="C19" s="3">
        <f ca="1">+D15</f>
        <v>58225.52204063745</v>
      </c>
      <c r="D19" s="4">
        <f ca="1">+D16</f>
        <v>5.1499187250997496</v>
      </c>
      <c r="E19" s="35">
        <f>S19</f>
        <v>2</v>
      </c>
      <c r="R19">
        <f>COUNT(R21:R322)</f>
        <v>5</v>
      </c>
      <c r="S19">
        <f>COUNT(S21:S322)</f>
        <v>2</v>
      </c>
    </row>
    <row r="20" spans="1:21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52</v>
      </c>
      <c r="I20" s="8" t="s">
        <v>53</v>
      </c>
      <c r="J20" s="8" t="s">
        <v>54</v>
      </c>
      <c r="K20" s="8" t="s">
        <v>55</v>
      </c>
      <c r="L20" s="8" t="s">
        <v>25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9" t="s">
        <v>18</v>
      </c>
      <c r="S20" s="9" t="s">
        <v>19</v>
      </c>
    </row>
    <row r="21" spans="1:21" x14ac:dyDescent="0.2">
      <c r="A21" s="52" t="s">
        <v>47</v>
      </c>
      <c r="B21" s="53" t="s">
        <v>48</v>
      </c>
      <c r="C21" s="52">
        <v>56917.662000000011</v>
      </c>
      <c r="D21" s="52"/>
      <c r="E21">
        <f t="shared" ref="E21:E27" si="0">+(C21-C$7)/C$8</f>
        <v>-2.0169633703028622</v>
      </c>
      <c r="F21">
        <f t="shared" ref="F21:F27" si="1">ROUND(2*E21,0)/2</f>
        <v>-2</v>
      </c>
      <c r="G21">
        <f t="shared" ref="G21:G27" si="2">+C21-(C$7+F21*C$8)</f>
        <v>-8.7359999990439974E-2</v>
      </c>
      <c r="I21">
        <f>+G21</f>
        <v>-8.7359999990439974E-2</v>
      </c>
      <c r="O21">
        <f t="shared" ref="O21:P27" ca="1" si="3">+C$11+C$12*$F21</f>
        <v>8.1927660869673596E-2</v>
      </c>
      <c r="P21">
        <f t="shared" ca="1" si="3"/>
        <v>-0.3066755378870103</v>
      </c>
      <c r="Q21" s="2">
        <f t="shared" ref="Q21:Q27" si="4">+C21-15018.5</f>
        <v>41899.162000000011</v>
      </c>
      <c r="R21">
        <f>G21</f>
        <v>-8.7359999990439974E-2</v>
      </c>
    </row>
    <row r="22" spans="1:21" x14ac:dyDescent="0.2">
      <c r="A22" t="s">
        <v>46</v>
      </c>
      <c r="C22" s="14">
        <v>56928.049200000001</v>
      </c>
      <c r="D22" s="14" t="s">
        <v>26</v>
      </c>
      <c r="E22">
        <f t="shared" si="0"/>
        <v>0</v>
      </c>
      <c r="F22">
        <f t="shared" si="1"/>
        <v>0</v>
      </c>
      <c r="G22">
        <f t="shared" si="2"/>
        <v>0</v>
      </c>
      <c r="I22">
        <f t="shared" ref="I22:I27" si="5">+G22</f>
        <v>0</v>
      </c>
      <c r="O22">
        <f t="shared" ca="1" si="3"/>
        <v>8.0860693348036167E-2</v>
      </c>
      <c r="P22">
        <f t="shared" ca="1" si="3"/>
        <v>-0.30667808768751081</v>
      </c>
      <c r="Q22" s="2">
        <f t="shared" si="4"/>
        <v>41909.549200000001</v>
      </c>
      <c r="R22">
        <f>G22</f>
        <v>0</v>
      </c>
    </row>
    <row r="23" spans="1:21" x14ac:dyDescent="0.2">
      <c r="A23" s="52" t="s">
        <v>47</v>
      </c>
      <c r="B23" s="53" t="s">
        <v>48</v>
      </c>
      <c r="C23" s="52">
        <v>56928.051899999846</v>
      </c>
      <c r="D23" s="52"/>
      <c r="E23">
        <f t="shared" si="0"/>
        <v>5.2427995861698267E-4</v>
      </c>
      <c r="F23">
        <f t="shared" si="1"/>
        <v>0</v>
      </c>
      <c r="G23">
        <f t="shared" si="2"/>
        <v>2.6999998444807716E-3</v>
      </c>
      <c r="I23">
        <f t="shared" si="5"/>
        <v>2.6999998444807716E-3</v>
      </c>
      <c r="O23">
        <f t="shared" ca="1" si="3"/>
        <v>8.0860693348036167E-2</v>
      </c>
      <c r="P23">
        <f t="shared" ca="1" si="3"/>
        <v>-0.30667808768751081</v>
      </c>
      <c r="Q23" s="2">
        <f t="shared" si="4"/>
        <v>41909.551899999846</v>
      </c>
      <c r="R23">
        <f>G23</f>
        <v>2.6999998444807716E-3</v>
      </c>
    </row>
    <row r="24" spans="1:21" x14ac:dyDescent="0.2">
      <c r="A24" s="52" t="s">
        <v>47</v>
      </c>
      <c r="B24" s="53" t="s">
        <v>48</v>
      </c>
      <c r="C24" s="52">
        <v>56935.467399999965</v>
      </c>
      <c r="D24" s="52" t="s">
        <v>49</v>
      </c>
      <c r="E24">
        <f t="shared" si="0"/>
        <v>1.44044956037447</v>
      </c>
      <c r="F24">
        <f t="shared" si="1"/>
        <v>1.5</v>
      </c>
      <c r="G24">
        <f t="shared" si="2"/>
        <v>-0.3066800000378862</v>
      </c>
      <c r="K24">
        <f>+G24</f>
        <v>-0.3066800000378862</v>
      </c>
      <c r="O24">
        <f t="shared" ca="1" si="3"/>
        <v>8.0060467706808094E-2</v>
      </c>
      <c r="P24">
        <f t="shared" ca="1" si="3"/>
        <v>-0.3066800000378862</v>
      </c>
      <c r="Q24" s="2">
        <f t="shared" si="4"/>
        <v>41916.967399999965</v>
      </c>
      <c r="S24">
        <f>G24</f>
        <v>-0.3066800000378862</v>
      </c>
    </row>
    <row r="25" spans="1:21" x14ac:dyDescent="0.2">
      <c r="A25" s="52" t="s">
        <v>47</v>
      </c>
      <c r="B25" s="53" t="s">
        <v>48</v>
      </c>
      <c r="C25" s="52">
        <v>56959.370500000194</v>
      </c>
      <c r="D25" s="52"/>
      <c r="E25">
        <f t="shared" si="0"/>
        <v>6.0819003014012694</v>
      </c>
      <c r="F25">
        <f t="shared" si="1"/>
        <v>6</v>
      </c>
      <c r="G25">
        <f t="shared" si="2"/>
        <v>0.42178000019339379</v>
      </c>
      <c r="I25">
        <f t="shared" si="5"/>
        <v>0.42178000019339379</v>
      </c>
      <c r="O25">
        <f t="shared" ca="1" si="3"/>
        <v>7.7659790783123878E-2</v>
      </c>
      <c r="P25">
        <f t="shared" ca="1" si="3"/>
        <v>-0.30668573708901231</v>
      </c>
      <c r="Q25" s="2">
        <f t="shared" si="4"/>
        <v>41940.870500000194</v>
      </c>
      <c r="R25">
        <f>G25</f>
        <v>0.42178000019339379</v>
      </c>
    </row>
    <row r="26" spans="1:21" x14ac:dyDescent="0.2">
      <c r="A26" s="54" t="s">
        <v>50</v>
      </c>
      <c r="B26" s="55" t="s">
        <v>48</v>
      </c>
      <c r="C26" s="52">
        <v>57710.821000000004</v>
      </c>
      <c r="D26" s="52">
        <v>0.01</v>
      </c>
      <c r="E26">
        <f t="shared" si="0"/>
        <v>151.99688538851134</v>
      </c>
      <c r="F26">
        <f t="shared" si="1"/>
        <v>152</v>
      </c>
      <c r="G26">
        <f t="shared" si="2"/>
        <v>-1.6039999994973186E-2</v>
      </c>
      <c r="J26">
        <f>+G26</f>
        <v>-1.6039999994973186E-2</v>
      </c>
      <c r="O26">
        <f t="shared" ca="1" si="3"/>
        <v>-2.288382964084068E-4</v>
      </c>
      <c r="P26">
        <f t="shared" ca="1" si="3"/>
        <v>-0.30687187252554854</v>
      </c>
      <c r="Q26" s="2">
        <f t="shared" si="4"/>
        <v>42692.321000000004</v>
      </c>
      <c r="R26">
        <f>G26</f>
        <v>-1.6039999994973186E-2</v>
      </c>
      <c r="U26" s="10" t="s">
        <v>57</v>
      </c>
    </row>
    <row r="27" spans="1:21" x14ac:dyDescent="0.2">
      <c r="A27" s="54" t="s">
        <v>50</v>
      </c>
      <c r="B27" s="55" t="s">
        <v>51</v>
      </c>
      <c r="C27" s="52">
        <v>58228.097000000002</v>
      </c>
      <c r="D27" s="52">
        <v>1.4999999999999999E-2</v>
      </c>
      <c r="E27">
        <f t="shared" si="0"/>
        <v>252.44038742349403</v>
      </c>
      <c r="F27">
        <f t="shared" si="1"/>
        <v>252.5</v>
      </c>
      <c r="G27">
        <f t="shared" si="2"/>
        <v>-0.30700000000069849</v>
      </c>
      <c r="J27">
        <f>+G27</f>
        <v>-0.30700000000069849</v>
      </c>
      <c r="O27">
        <f t="shared" ca="1" si="3"/>
        <v>-5.3843956258689207E-2</v>
      </c>
      <c r="P27">
        <f t="shared" ca="1" si="3"/>
        <v>-0.30700000000069849</v>
      </c>
      <c r="Q27" s="2">
        <f t="shared" si="4"/>
        <v>43209.597000000002</v>
      </c>
      <c r="S27">
        <f>G27</f>
        <v>-0.30700000000069849</v>
      </c>
      <c r="U27" s="10" t="s">
        <v>57</v>
      </c>
    </row>
    <row r="28" spans="1:21" x14ac:dyDescent="0.2">
      <c r="A28" s="10"/>
      <c r="B28" s="10"/>
      <c r="C28" s="11"/>
      <c r="D28" s="11"/>
      <c r="Q28" s="2"/>
    </row>
    <row r="29" spans="1:21" x14ac:dyDescent="0.2">
      <c r="A29" s="15"/>
      <c r="B29" s="16"/>
      <c r="C29" s="17"/>
      <c r="D29" s="17"/>
      <c r="Q29" s="2"/>
    </row>
    <row r="30" spans="1:21" x14ac:dyDescent="0.2">
      <c r="A30" s="12"/>
      <c r="B30" s="13"/>
      <c r="C30" s="11"/>
      <c r="D30" s="14"/>
      <c r="Q30" s="2"/>
    </row>
    <row r="31" spans="1:21" x14ac:dyDescent="0.2">
      <c r="A31" s="15"/>
      <c r="B31" s="18"/>
      <c r="C31" s="11"/>
      <c r="D31" s="11"/>
      <c r="Q31" s="2"/>
    </row>
    <row r="32" spans="1:21" x14ac:dyDescent="0.2">
      <c r="A32" s="15"/>
      <c r="B32" s="18"/>
      <c r="C32" s="11"/>
      <c r="D32" s="11"/>
      <c r="Q32" s="2"/>
    </row>
    <row r="33" spans="1:17" x14ac:dyDescent="0.2">
      <c r="A33" s="19"/>
      <c r="B33" s="13"/>
      <c r="C33" s="11"/>
      <c r="D33" s="14"/>
      <c r="Q33" s="2"/>
    </row>
    <row r="34" spans="1:17" x14ac:dyDescent="0.2">
      <c r="A34" s="19"/>
      <c r="B34" s="13"/>
      <c r="C34" s="11"/>
      <c r="D34" s="14"/>
      <c r="Q34" s="2"/>
    </row>
    <row r="35" spans="1:17" x14ac:dyDescent="0.2">
      <c r="A35" s="19"/>
      <c r="B35" s="13"/>
      <c r="C35" s="11"/>
      <c r="D35" s="14"/>
      <c r="Q35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2024-02-17T03:04:56Z</dcterms:modified>
</cp:coreProperties>
</file>