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2A6FF43D-16BA-4C8D-BFBA-892DA02DA6E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K21" i="1"/>
  <c r="E22" i="1"/>
  <c r="F22" i="1"/>
  <c r="G22" i="1"/>
  <c r="K22" i="1"/>
  <c r="E23" i="1"/>
  <c r="F23" i="1"/>
  <c r="G23" i="1"/>
  <c r="K23" i="1"/>
  <c r="E24" i="1"/>
  <c r="F24" i="1"/>
  <c r="G24" i="1"/>
  <c r="K24" i="1"/>
  <c r="E25" i="1"/>
  <c r="F25" i="1"/>
  <c r="G25" i="1"/>
  <c r="K25" i="1"/>
  <c r="E26" i="1"/>
  <c r="F26" i="1"/>
  <c r="G26" i="1"/>
  <c r="K26" i="1"/>
  <c r="E27" i="1"/>
  <c r="F27" i="1"/>
  <c r="G27" i="1"/>
  <c r="K27" i="1"/>
  <c r="E28" i="1"/>
  <c r="F28" i="1"/>
  <c r="G28" i="1"/>
  <c r="K28" i="1"/>
  <c r="E30" i="1"/>
  <c r="F30" i="1"/>
  <c r="G30" i="1"/>
  <c r="K30" i="1"/>
  <c r="C29" i="1"/>
  <c r="E29" i="1"/>
  <c r="F29" i="1"/>
  <c r="U29" i="1"/>
  <c r="E31" i="1"/>
  <c r="F31" i="1"/>
  <c r="G31" i="1"/>
  <c r="I31" i="1"/>
  <c r="G11" i="1"/>
  <c r="F11" i="1"/>
  <c r="Q21" i="1"/>
  <c r="Q22" i="1"/>
  <c r="Q23" i="1"/>
  <c r="Q24" i="1"/>
  <c r="Q25" i="1"/>
  <c r="Q26" i="1"/>
  <c r="Q27" i="1"/>
  <c r="Q28" i="1"/>
  <c r="Q30" i="1"/>
  <c r="G12" i="2"/>
  <c r="C12" i="2"/>
  <c r="E12" i="2"/>
  <c r="G21" i="2"/>
  <c r="C21" i="2"/>
  <c r="E21" i="2"/>
  <c r="G11" i="2"/>
  <c r="C11" i="2"/>
  <c r="E1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H12" i="2"/>
  <c r="B12" i="2"/>
  <c r="D12" i="2"/>
  <c r="A12" i="2"/>
  <c r="H21" i="2"/>
  <c r="B21" i="2"/>
  <c r="D21" i="2"/>
  <c r="A21" i="2"/>
  <c r="H11" i="2"/>
  <c r="B11" i="2"/>
  <c r="D11" i="2"/>
  <c r="A1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Q31" i="1"/>
  <c r="E14" i="1"/>
  <c r="C17" i="1"/>
  <c r="Q29" i="1"/>
  <c r="C11" i="1"/>
  <c r="E15" i="1" l="1"/>
  <c r="C12" i="1"/>
  <c r="C16" i="1" l="1"/>
  <c r="D18" i="1" s="1"/>
  <c r="O22" i="1"/>
  <c r="O26" i="1"/>
  <c r="O28" i="1"/>
  <c r="C15" i="1"/>
  <c r="O30" i="1"/>
  <c r="O24" i="1"/>
  <c r="O25" i="1"/>
  <c r="O23" i="1"/>
  <c r="O21" i="1"/>
  <c r="O31" i="1"/>
  <c r="O27" i="1"/>
  <c r="O29" i="1"/>
  <c r="C18" i="1" l="1"/>
  <c r="E16" i="1"/>
  <c r="E17" i="1" s="1"/>
</calcChain>
</file>

<file path=xl/sharedStrings.xml><?xml version="1.0" encoding="utf-8"?>
<sst xmlns="http://schemas.openxmlformats.org/spreadsheetml/2006/main" count="162" uniqueCount="109">
  <si>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</si>
  <si>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</si>
  <si>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</si>
  <si>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</si>
  <si>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</si>
  <si>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</si>
  <si>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</si>
  <si>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</si>
  <si>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</si>
  <si>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</si>
  <si>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</si>
  <si>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</si>
  <si>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</si>
  <si>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</si>
  <si>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</si>
  <si>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</si>
  <si>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</si>
  <si>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</si>
  <si>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</si>
  <si>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</si>
  <si>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</si>
  <si>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</si>
  <si>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</si>
  <si>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</si>
  <si>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</si>
  <si>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</si>
  <si>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</si>
  <si>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</si>
  <si>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</si>
  <si>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</si>
  <si>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</si>
  <si>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</si>
  <si>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</si>
  <si>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</si>
  <si>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</si>
  <si>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</si>
  <si>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</si>
  <si>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</si>
  <si>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</si>
  <si>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</si>
  <si>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</si>
  <si>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UY Lac / GSC 3607-2430</t>
  </si>
  <si>
    <t>EA/DS</t>
  </si>
  <si>
    <t>IBVS 6118</t>
  </si>
  <si>
    <t>I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</si>
  <si>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</si>
  <si>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</si>
  <si>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</si>
  <si>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</si>
  <si>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</si>
  <si>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</si>
  <si>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</si>
  <si>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</si>
  <si>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</si>
  <si>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</si>
  <si>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</si>
  <si>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2424413.7 </t>
  </si>
  <si>
    <t> 20.09.1925 04:48 </t>
  </si>
  <si>
    <t> 0.0 </t>
  </si>
  <si>
    <t>P </t>
  </si>
  <si>
    <t> Ross </t>
  </si>
  <si>
    <t> AJ 36.168 </t>
  </si>
  <si>
    <t>2424711.38 </t>
  </si>
  <si>
    <t> 14.07.1926 21:07 </t>
  </si>
  <si>
    <t> 0.03 </t>
  </si>
  <si>
    <t> Guthnick &amp; Prager </t>
  </si>
  <si>
    <t> AN 229.455 </t>
  </si>
  <si>
    <t>2424791.44 </t>
  </si>
  <si>
    <t> 02.10.1926 22:33 </t>
  </si>
  <si>
    <t> -0.06 </t>
  </si>
  <si>
    <t>2426234.03 </t>
  </si>
  <si>
    <t> 14.09.1930 12:43 </t>
  </si>
  <si>
    <t> -0.03 </t>
  </si>
  <si>
    <t>V </t>
  </si>
  <si>
    <t> N.Florja </t>
  </si>
  <si>
    <t> PZ 4.50 </t>
  </si>
  <si>
    <t>2426600.39 </t>
  </si>
  <si>
    <t> 15.09.1931 21:21 </t>
  </si>
  <si>
    <t> E.Zinner </t>
  </si>
  <si>
    <t> AN 246.17 </t>
  </si>
  <si>
    <t>2426623.34 </t>
  </si>
  <si>
    <t> 08.10.1931 20:09 </t>
  </si>
  <si>
    <t> 0.02 </t>
  </si>
  <si>
    <t>2426623.37 </t>
  </si>
  <si>
    <t> 08.10.1931 20:52 </t>
  </si>
  <si>
    <t> 0.05 </t>
  </si>
  <si>
    <t> W.Zessewitsch </t>
  </si>
  <si>
    <t>2426932.443 </t>
  </si>
  <si>
    <t> 12.08.1932 22:37 </t>
  </si>
  <si>
    <t> 0.003 </t>
  </si>
  <si>
    <t> AN 247.357 </t>
  </si>
  <si>
    <t>2435782.44 </t>
  </si>
  <si>
    <t> 04.11.1956 22:33 </t>
  </si>
  <si>
    <t> 0.00 </t>
  </si>
  <si>
    <t> R.Szafraniec </t>
  </si>
  <si>
    <t> AA 8.191 </t>
  </si>
  <si>
    <t>2455887.2452 </t>
  </si>
  <si>
    <t> 21.11.2011 17:53 </t>
  </si>
  <si>
    <t> 0.5368 </t>
  </si>
  <si>
    <t>C </t>
  </si>
  <si>
    <t>-I</t>
  </si>
  <si>
    <t> F.Agerer </t>
  </si>
  <si>
    <t>BAVM 225 </t>
  </si>
  <si>
    <t>2456505.4921 </t>
  </si>
  <si>
    <t> 31.07.2013 23:48 </t>
  </si>
  <si>
    <t>1810</t>
  </si>
  <si>
    <t> 0.5431 </t>
  </si>
  <si>
    <t>BAVM 234 </t>
  </si>
  <si>
    <t>Vis?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</si>
</sst>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9" fillId="0" borderId="1" applyNumberFormat="0" applyFont="0" applyFill="0" applyAlignment="0" applyProtection="0"/>
  </cellStyleXfs>
  <cellXfs count="5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wrapText="1"/>
    </xf>
    <xf numFmtId="0" fontId="16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7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7" fillId="2" borderId="11" xfId="7" applyFill="1" applyBorder="1" applyAlignment="1" applyProtection="1">
      <alignment horizontal="right" vertical="top" wrapText="1"/>
    </xf>
    <xf numFmtId="0" fontId="18" fillId="0" borderId="0" xfId="0" applyFont="1" applyAlignme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UY Lac - O-C Diagr.</a:t>
            </a:r>
          </a:p>
        </c:rich>
      </c:tx>
      <c:layout>
        <c:manualLayout>
          <c:xMode val="edge"/>
          <c:yMode val="edge"/>
          <c:x val="0.3879699248120300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300751879699248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8">
                    <c:v>0</c:v>
                  </c:pt>
                  <c:pt idx="10">
                    <c:v>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8">
                    <c:v>0</c:v>
                  </c:pt>
                  <c:pt idx="10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-993</c:v>
                </c:pt>
                <c:pt idx="1">
                  <c:v>-967</c:v>
                </c:pt>
                <c:pt idx="2">
                  <c:v>-960</c:v>
                </c:pt>
                <c:pt idx="3">
                  <c:v>-834</c:v>
                </c:pt>
                <c:pt idx="4">
                  <c:v>-802</c:v>
                </c:pt>
                <c:pt idx="5">
                  <c:v>-800</c:v>
                </c:pt>
                <c:pt idx="6">
                  <c:v>-800</c:v>
                </c:pt>
                <c:pt idx="7">
                  <c:v>-773</c:v>
                </c:pt>
                <c:pt idx="8">
                  <c:v>0</c:v>
                </c:pt>
                <c:pt idx="9">
                  <c:v>1756</c:v>
                </c:pt>
                <c:pt idx="10">
                  <c:v>1810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F7F-4E8B-B39E-64B107C757F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8">
                    <c:v>0</c:v>
                  </c:pt>
                  <c:pt idx="10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8">
                    <c:v>0</c:v>
                  </c:pt>
                  <c:pt idx="10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-993</c:v>
                </c:pt>
                <c:pt idx="1">
                  <c:v>-967</c:v>
                </c:pt>
                <c:pt idx="2">
                  <c:v>-960</c:v>
                </c:pt>
                <c:pt idx="3">
                  <c:v>-834</c:v>
                </c:pt>
                <c:pt idx="4">
                  <c:v>-802</c:v>
                </c:pt>
                <c:pt idx="5">
                  <c:v>-800</c:v>
                </c:pt>
                <c:pt idx="6">
                  <c:v>-800</c:v>
                </c:pt>
                <c:pt idx="7">
                  <c:v>-773</c:v>
                </c:pt>
                <c:pt idx="8">
                  <c:v>0</c:v>
                </c:pt>
                <c:pt idx="9">
                  <c:v>1756</c:v>
                </c:pt>
                <c:pt idx="10">
                  <c:v>1810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0">
                  <c:v>0.5430999999953201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F7F-4E8B-B39E-64B107C757F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8">
                    <c:v>0</c:v>
                  </c:pt>
                  <c:pt idx="10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8">
                    <c:v>0</c:v>
                  </c:pt>
                  <c:pt idx="10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-993</c:v>
                </c:pt>
                <c:pt idx="1">
                  <c:v>-967</c:v>
                </c:pt>
                <c:pt idx="2">
                  <c:v>-960</c:v>
                </c:pt>
                <c:pt idx="3">
                  <c:v>-834</c:v>
                </c:pt>
                <c:pt idx="4">
                  <c:v>-802</c:v>
                </c:pt>
                <c:pt idx="5">
                  <c:v>-800</c:v>
                </c:pt>
                <c:pt idx="6">
                  <c:v>-800</c:v>
                </c:pt>
                <c:pt idx="7">
                  <c:v>-773</c:v>
                </c:pt>
                <c:pt idx="8">
                  <c:v>0</c:v>
                </c:pt>
                <c:pt idx="9">
                  <c:v>1756</c:v>
                </c:pt>
                <c:pt idx="10">
                  <c:v>1810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F7F-4E8B-B39E-64B107C757F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8">
                    <c:v>0</c:v>
                  </c:pt>
                  <c:pt idx="10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8">
                    <c:v>0</c:v>
                  </c:pt>
                  <c:pt idx="10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-993</c:v>
                </c:pt>
                <c:pt idx="1">
                  <c:v>-967</c:v>
                </c:pt>
                <c:pt idx="2">
                  <c:v>-960</c:v>
                </c:pt>
                <c:pt idx="3">
                  <c:v>-834</c:v>
                </c:pt>
                <c:pt idx="4">
                  <c:v>-802</c:v>
                </c:pt>
                <c:pt idx="5">
                  <c:v>-800</c:v>
                </c:pt>
                <c:pt idx="6">
                  <c:v>-800</c:v>
                </c:pt>
                <c:pt idx="7">
                  <c:v>-773</c:v>
                </c:pt>
                <c:pt idx="8">
                  <c:v>0</c:v>
                </c:pt>
                <c:pt idx="9">
                  <c:v>1756</c:v>
                </c:pt>
                <c:pt idx="10">
                  <c:v>1810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1.7700000000331784E-2</c:v>
                </c:pt>
                <c:pt idx="1">
                  <c:v>2.6300000001356238E-2</c:v>
                </c:pt>
                <c:pt idx="2">
                  <c:v>-5.6000000004132744E-2</c:v>
                </c:pt>
                <c:pt idx="3">
                  <c:v>-2.7400000002671732E-2</c:v>
                </c:pt>
                <c:pt idx="4">
                  <c:v>-3.2200000001466833E-2</c:v>
                </c:pt>
                <c:pt idx="5">
                  <c:v>2.0000000000436557E-2</c:v>
                </c:pt>
                <c:pt idx="6">
                  <c:v>4.9999999999272404E-2</c:v>
                </c:pt>
                <c:pt idx="7">
                  <c:v>2.6999999972758815E-3</c:v>
                </c:pt>
                <c:pt idx="9">
                  <c:v>0.53679999999440042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F7F-4E8B-B39E-64B107C757F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8">
                    <c:v>0</c:v>
                  </c:pt>
                  <c:pt idx="10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8">
                    <c:v>0</c:v>
                  </c:pt>
                  <c:pt idx="10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-993</c:v>
                </c:pt>
                <c:pt idx="1">
                  <c:v>-967</c:v>
                </c:pt>
                <c:pt idx="2">
                  <c:v>-960</c:v>
                </c:pt>
                <c:pt idx="3">
                  <c:v>-834</c:v>
                </c:pt>
                <c:pt idx="4">
                  <c:v>-802</c:v>
                </c:pt>
                <c:pt idx="5">
                  <c:v>-800</c:v>
                </c:pt>
                <c:pt idx="6">
                  <c:v>-800</c:v>
                </c:pt>
                <c:pt idx="7">
                  <c:v>-773</c:v>
                </c:pt>
                <c:pt idx="8">
                  <c:v>0</c:v>
                </c:pt>
                <c:pt idx="9">
                  <c:v>1756</c:v>
                </c:pt>
                <c:pt idx="10">
                  <c:v>1810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F7F-4E8B-B39E-64B107C757F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8">
                    <c:v>0</c:v>
                  </c:pt>
                  <c:pt idx="10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8">
                    <c:v>0</c:v>
                  </c:pt>
                  <c:pt idx="10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-993</c:v>
                </c:pt>
                <c:pt idx="1">
                  <c:v>-967</c:v>
                </c:pt>
                <c:pt idx="2">
                  <c:v>-960</c:v>
                </c:pt>
                <c:pt idx="3">
                  <c:v>-834</c:v>
                </c:pt>
                <c:pt idx="4">
                  <c:v>-802</c:v>
                </c:pt>
                <c:pt idx="5">
                  <c:v>-800</c:v>
                </c:pt>
                <c:pt idx="6">
                  <c:v>-800</c:v>
                </c:pt>
                <c:pt idx="7">
                  <c:v>-773</c:v>
                </c:pt>
                <c:pt idx="8">
                  <c:v>0</c:v>
                </c:pt>
                <c:pt idx="9">
                  <c:v>1756</c:v>
                </c:pt>
                <c:pt idx="10">
                  <c:v>1810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F7F-4E8B-B39E-64B107C757F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8">
                    <c:v>0</c:v>
                  </c:pt>
                  <c:pt idx="10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8">
                    <c:v>0</c:v>
                  </c:pt>
                  <c:pt idx="10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-993</c:v>
                </c:pt>
                <c:pt idx="1">
                  <c:v>-967</c:v>
                </c:pt>
                <c:pt idx="2">
                  <c:v>-960</c:v>
                </c:pt>
                <c:pt idx="3">
                  <c:v>-834</c:v>
                </c:pt>
                <c:pt idx="4">
                  <c:v>-802</c:v>
                </c:pt>
                <c:pt idx="5">
                  <c:v>-800</c:v>
                </c:pt>
                <c:pt idx="6">
                  <c:v>-800</c:v>
                </c:pt>
                <c:pt idx="7">
                  <c:v>-773</c:v>
                </c:pt>
                <c:pt idx="8">
                  <c:v>0</c:v>
                </c:pt>
                <c:pt idx="9">
                  <c:v>1756</c:v>
                </c:pt>
                <c:pt idx="10">
                  <c:v>1810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F7F-4E8B-B39E-64B107C757F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-993</c:v>
                </c:pt>
                <c:pt idx="1">
                  <c:v>-967</c:v>
                </c:pt>
                <c:pt idx="2">
                  <c:v>-960</c:v>
                </c:pt>
                <c:pt idx="3">
                  <c:v>-834</c:v>
                </c:pt>
                <c:pt idx="4">
                  <c:v>-802</c:v>
                </c:pt>
                <c:pt idx="5">
                  <c:v>-800</c:v>
                </c:pt>
                <c:pt idx="6">
                  <c:v>-800</c:v>
                </c:pt>
                <c:pt idx="7">
                  <c:v>-773</c:v>
                </c:pt>
                <c:pt idx="8">
                  <c:v>0</c:v>
                </c:pt>
                <c:pt idx="9">
                  <c:v>1756</c:v>
                </c:pt>
                <c:pt idx="10">
                  <c:v>1810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-2.5158467895499581E-2</c:v>
                </c:pt>
                <c:pt idx="1">
                  <c:v>-1.9882512108639061E-2</c:v>
                </c:pt>
                <c:pt idx="2">
                  <c:v>-1.8462062473715068E-2</c:v>
                </c:pt>
                <c:pt idx="3">
                  <c:v>7.1060309549166867E-3</c:v>
                </c:pt>
                <c:pt idx="4">
                  <c:v>1.3599515000283502E-2</c:v>
                </c:pt>
                <c:pt idx="5">
                  <c:v>1.4005357753118924E-2</c:v>
                </c:pt>
                <c:pt idx="6">
                  <c:v>1.4005357753118924E-2</c:v>
                </c:pt>
                <c:pt idx="7">
                  <c:v>1.948423491639717E-2</c:v>
                </c:pt>
                <c:pt idx="8">
                  <c:v>0.17634245888728889</c:v>
                </c:pt>
                <c:pt idx="9">
                  <c:v>0.53267239587679205</c:v>
                </c:pt>
                <c:pt idx="10">
                  <c:v>0.54363015020334848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F7F-4E8B-B39E-64B107C757F0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CC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-993</c:v>
                </c:pt>
                <c:pt idx="1">
                  <c:v>-967</c:v>
                </c:pt>
                <c:pt idx="2">
                  <c:v>-960</c:v>
                </c:pt>
                <c:pt idx="3">
                  <c:v>-834</c:v>
                </c:pt>
                <c:pt idx="4">
                  <c:v>-802</c:v>
                </c:pt>
                <c:pt idx="5">
                  <c:v>-800</c:v>
                </c:pt>
                <c:pt idx="6">
                  <c:v>-800</c:v>
                </c:pt>
                <c:pt idx="7">
                  <c:v>-773</c:v>
                </c:pt>
                <c:pt idx="8">
                  <c:v>0</c:v>
                </c:pt>
                <c:pt idx="9">
                  <c:v>1756</c:v>
                </c:pt>
                <c:pt idx="10">
                  <c:v>1810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F7F-4E8B-B39E-64B107C75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3782808"/>
        <c:axId val="1"/>
      </c:scatterChart>
      <c:valAx>
        <c:axId val="6837828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37828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849624060150375"/>
          <c:y val="0.92397937099967764"/>
          <c:w val="0.7338345864661654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247FA66-B123-FE3D-6186-DA97B44701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bav-astro.de/sfs/BAVM_link.php?BAVMnr=234" TargetMode="External"/><Relationship Id="rId1" Type="http://schemas.openxmlformats.org/officeDocument/2006/relationships/hyperlink" Target="http://www.bav-astro.de/sfs/BAVM_link.php?BAVMnr=2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7" ht="20.25" x14ac:dyDescent="0.3">
      <c r="A1" s="1" t="s">
        <v>41</v>
      </c>
    </row>
    <row r="2" spans="1:7" x14ac:dyDescent="0.2">
      <c r="A2" t="s">
        <v>24</v>
      </c>
      <c r="B2" t="s">
        <v>42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8" t="s">
        <v>39</v>
      </c>
      <c r="D4" s="29" t="s">
        <v>39</v>
      </c>
    </row>
    <row r="5" spans="1:7" ht="13.5" thickTop="1" x14ac:dyDescent="0.2"/>
    <row r="6" spans="1:7" x14ac:dyDescent="0.2">
      <c r="A6" s="5" t="s">
        <v>1</v>
      </c>
    </row>
    <row r="7" spans="1:7" x14ac:dyDescent="0.2">
      <c r="A7" t="s">
        <v>2</v>
      </c>
      <c r="C7" s="51">
        <v>35782.44</v>
      </c>
      <c r="D7" s="30" t="s">
        <v>40</v>
      </c>
    </row>
    <row r="8" spans="1:7" x14ac:dyDescent="0.2">
      <c r="A8" t="s">
        <v>3</v>
      </c>
      <c r="C8" s="51">
        <v>11.4489</v>
      </c>
      <c r="D8" s="30" t="s">
        <v>40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0.17634245888728889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2.0292137641771246E-4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36</v>
      </c>
      <c r="E13" s="11">
        <v>1</v>
      </c>
    </row>
    <row r="14" spans="1:7" x14ac:dyDescent="0.2">
      <c r="A14" s="10"/>
      <c r="B14" s="10"/>
      <c r="C14" s="10"/>
      <c r="D14" s="14" t="s">
        <v>31</v>
      </c>
      <c r="E14" s="15">
        <f ca="1">NOW()+15018.5+$C$9/24</f>
        <v>60357.687046643514</v>
      </c>
    </row>
    <row r="15" spans="1:7" x14ac:dyDescent="0.2">
      <c r="A15" s="12" t="s">
        <v>17</v>
      </c>
      <c r="B15" s="10"/>
      <c r="C15" s="13">
        <f ca="1">(C7+C11)+(C8+C12)*INT(MAX(F21:F3533))</f>
        <v>56505.492630150206</v>
      </c>
      <c r="D15" s="14" t="s">
        <v>37</v>
      </c>
      <c r="E15" s="15">
        <f ca="1">ROUND(2*(E14-$C$7)/$C$8,0)/2+E13</f>
        <v>2147.5</v>
      </c>
    </row>
    <row r="16" spans="1:7" x14ac:dyDescent="0.2">
      <c r="A16" s="16" t="s">
        <v>4</v>
      </c>
      <c r="B16" s="10"/>
      <c r="C16" s="17">
        <f ca="1">+C8+C12</f>
        <v>11.449102921376419</v>
      </c>
      <c r="D16" s="14" t="s">
        <v>38</v>
      </c>
      <c r="E16" s="24">
        <f ca="1">ROUND(2*(E14-$C$15)/$C$16,0)/2+E13</f>
        <v>337.5</v>
      </c>
    </row>
    <row r="17" spans="1:21" ht="13.5" thickBot="1" x14ac:dyDescent="0.25">
      <c r="A17" s="14" t="s">
        <v>28</v>
      </c>
      <c r="B17" s="10"/>
      <c r="C17" s="10">
        <f>COUNT(C21:C2191)</f>
        <v>11</v>
      </c>
      <c r="D17" s="14" t="s">
        <v>32</v>
      </c>
      <c r="E17" s="18">
        <f ca="1">+$C$15+$C$16*E16-15018.5-$C$9/24</f>
        <v>45351.460699448086</v>
      </c>
    </row>
    <row r="18" spans="1:21" ht="14.25" thickTop="1" thickBot="1" x14ac:dyDescent="0.25">
      <c r="A18" s="16" t="s">
        <v>5</v>
      </c>
      <c r="B18" s="10"/>
      <c r="C18" s="19">
        <f ca="1">+C15</f>
        <v>56505.492630150206</v>
      </c>
      <c r="D18" s="20">
        <f ca="1">+C16</f>
        <v>11.449102921376419</v>
      </c>
      <c r="E18" s="21" t="s">
        <v>33</v>
      </c>
    </row>
    <row r="19" spans="1:21" ht="13.5" thickTop="1" x14ac:dyDescent="0.2">
      <c r="A19" s="25" t="s">
        <v>34</v>
      </c>
      <c r="E19" s="26">
        <v>21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40</v>
      </c>
      <c r="I20" s="7" t="s">
        <v>47</v>
      </c>
      <c r="J20" s="7" t="s">
        <v>18</v>
      </c>
      <c r="K20" s="7" t="s">
        <v>108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14</v>
      </c>
      <c r="U20" s="27" t="s">
        <v>35</v>
      </c>
    </row>
    <row r="21" spans="1:21" x14ac:dyDescent="0.2">
      <c r="A21" s="48" t="s">
        <v>61</v>
      </c>
      <c r="B21" s="50" t="s">
        <v>44</v>
      </c>
      <c r="C21" s="49">
        <v>24413.7</v>
      </c>
      <c r="D21" s="8"/>
      <c r="E21">
        <f t="shared" ref="E21:E31" si="0">+(C21-C$7)/C$8</f>
        <v>-992.99845399994774</v>
      </c>
      <c r="F21">
        <f t="shared" ref="F21:F31" si="1">ROUND(2*E21,0)/2</f>
        <v>-993</v>
      </c>
      <c r="G21">
        <f t="shared" ref="G21:G28" si="2">+C21-(C$7+F21*C$8)</f>
        <v>1.7700000000331784E-2</v>
      </c>
      <c r="K21">
        <f t="shared" ref="K21:K28" si="3">+G21</f>
        <v>1.7700000000331784E-2</v>
      </c>
      <c r="O21">
        <f t="shared" ref="O21:O31" ca="1" si="4">+C$11+C$12*$F21</f>
        <v>-2.5158467895499581E-2</v>
      </c>
      <c r="Q21" s="2">
        <f t="shared" ref="Q21:Q31" si="5">+C21-15018.5</f>
        <v>9395.2000000000007</v>
      </c>
    </row>
    <row r="22" spans="1:21" x14ac:dyDescent="0.2">
      <c r="A22" s="48" t="s">
        <v>66</v>
      </c>
      <c r="B22" s="50" t="s">
        <v>44</v>
      </c>
      <c r="C22" s="49">
        <v>24711.38</v>
      </c>
      <c r="D22" s="8"/>
      <c r="E22">
        <f t="shared" si="0"/>
        <v>-966.99770283608041</v>
      </c>
      <c r="F22">
        <f t="shared" si="1"/>
        <v>-967</v>
      </c>
      <c r="G22">
        <f t="shared" si="2"/>
        <v>2.6300000001356238E-2</v>
      </c>
      <c r="K22">
        <f t="shared" si="3"/>
        <v>2.6300000001356238E-2</v>
      </c>
      <c r="O22">
        <f t="shared" ca="1" si="4"/>
        <v>-1.9882512108639061E-2</v>
      </c>
      <c r="Q22" s="2">
        <f t="shared" si="5"/>
        <v>9692.880000000001</v>
      </c>
    </row>
    <row r="23" spans="1:21" x14ac:dyDescent="0.2">
      <c r="A23" s="48" t="s">
        <v>66</v>
      </c>
      <c r="B23" s="50" t="s">
        <v>44</v>
      </c>
      <c r="C23" s="49">
        <v>24791.439999999999</v>
      </c>
      <c r="D23" s="8"/>
      <c r="E23">
        <f t="shared" si="0"/>
        <v>-960.00489129960113</v>
      </c>
      <c r="F23">
        <f t="shared" si="1"/>
        <v>-960</v>
      </c>
      <c r="G23">
        <f t="shared" si="2"/>
        <v>-5.6000000004132744E-2</v>
      </c>
      <c r="K23">
        <f t="shared" si="3"/>
        <v>-5.6000000004132744E-2</v>
      </c>
      <c r="O23">
        <f t="shared" ca="1" si="4"/>
        <v>-1.8462062473715068E-2</v>
      </c>
      <c r="Q23" s="2">
        <f t="shared" si="5"/>
        <v>9772.9399999999987</v>
      </c>
    </row>
    <row r="24" spans="1:21" x14ac:dyDescent="0.2">
      <c r="A24" s="48" t="s">
        <v>75</v>
      </c>
      <c r="B24" s="50" t="s">
        <v>44</v>
      </c>
      <c r="C24" s="49">
        <v>26234.03</v>
      </c>
      <c r="D24" s="8"/>
      <c r="E24">
        <f t="shared" si="0"/>
        <v>-834.00239324301924</v>
      </c>
      <c r="F24">
        <f t="shared" si="1"/>
        <v>-834</v>
      </c>
      <c r="G24">
        <f t="shared" si="2"/>
        <v>-2.7400000002671732E-2</v>
      </c>
      <c r="K24">
        <f t="shared" si="3"/>
        <v>-2.7400000002671732E-2</v>
      </c>
      <c r="O24">
        <f t="shared" ca="1" si="4"/>
        <v>7.1060309549166867E-3</v>
      </c>
      <c r="Q24" s="2">
        <f t="shared" si="5"/>
        <v>11215.529999999999</v>
      </c>
    </row>
    <row r="25" spans="1:21" x14ac:dyDescent="0.2">
      <c r="A25" s="48" t="s">
        <v>79</v>
      </c>
      <c r="B25" s="50" t="s">
        <v>44</v>
      </c>
      <c r="C25" s="49">
        <v>26600.39</v>
      </c>
      <c r="D25" s="8"/>
      <c r="E25">
        <f t="shared" si="0"/>
        <v>-802.00281249727072</v>
      </c>
      <c r="F25">
        <f t="shared" si="1"/>
        <v>-802</v>
      </c>
      <c r="G25">
        <f t="shared" si="2"/>
        <v>-3.2200000001466833E-2</v>
      </c>
      <c r="K25">
        <f t="shared" si="3"/>
        <v>-3.2200000001466833E-2</v>
      </c>
      <c r="O25">
        <f t="shared" ca="1" si="4"/>
        <v>1.3599515000283502E-2</v>
      </c>
      <c r="Q25" s="2">
        <f t="shared" si="5"/>
        <v>11581.89</v>
      </c>
    </row>
    <row r="26" spans="1:21" x14ac:dyDescent="0.2">
      <c r="A26" s="48" t="s">
        <v>79</v>
      </c>
      <c r="B26" s="50" t="s">
        <v>44</v>
      </c>
      <c r="C26" s="49">
        <v>26623.34</v>
      </c>
      <c r="D26" s="8"/>
      <c r="E26">
        <f t="shared" si="0"/>
        <v>-799.99825310728556</v>
      </c>
      <c r="F26">
        <f t="shared" si="1"/>
        <v>-800</v>
      </c>
      <c r="G26">
        <f t="shared" si="2"/>
        <v>2.0000000000436557E-2</v>
      </c>
      <c r="K26">
        <f t="shared" si="3"/>
        <v>2.0000000000436557E-2</v>
      </c>
      <c r="O26">
        <f t="shared" ca="1" si="4"/>
        <v>1.4005357753118924E-2</v>
      </c>
      <c r="Q26" s="2">
        <f t="shared" si="5"/>
        <v>11604.84</v>
      </c>
    </row>
    <row r="27" spans="1:21" x14ac:dyDescent="0.2">
      <c r="A27" s="48" t="s">
        <v>75</v>
      </c>
      <c r="B27" s="50" t="s">
        <v>44</v>
      </c>
      <c r="C27" s="49">
        <v>26623.37</v>
      </c>
      <c r="D27" s="8"/>
      <c r="E27">
        <f t="shared" si="0"/>
        <v>-799.9956327682138</v>
      </c>
      <c r="F27">
        <f t="shared" si="1"/>
        <v>-800</v>
      </c>
      <c r="G27">
        <f t="shared" si="2"/>
        <v>4.9999999999272404E-2</v>
      </c>
      <c r="K27">
        <f t="shared" si="3"/>
        <v>4.9999999999272404E-2</v>
      </c>
      <c r="O27">
        <f t="shared" ca="1" si="4"/>
        <v>1.4005357753118924E-2</v>
      </c>
      <c r="Q27" s="2">
        <f t="shared" si="5"/>
        <v>11604.869999999999</v>
      </c>
    </row>
    <row r="28" spans="1:21" x14ac:dyDescent="0.2">
      <c r="A28" s="48" t="s">
        <v>90</v>
      </c>
      <c r="B28" s="50" t="s">
        <v>44</v>
      </c>
      <c r="C28" s="49">
        <v>26932.442999999999</v>
      </c>
      <c r="D28" s="8"/>
      <c r="E28">
        <f t="shared" si="0"/>
        <v>-772.9997641694838</v>
      </c>
      <c r="F28">
        <f t="shared" si="1"/>
        <v>-773</v>
      </c>
      <c r="G28">
        <f t="shared" si="2"/>
        <v>2.6999999972758815E-3</v>
      </c>
      <c r="K28">
        <f t="shared" si="3"/>
        <v>2.6999999972758815E-3</v>
      </c>
      <c r="O28">
        <f t="shared" ca="1" si="4"/>
        <v>1.948423491639717E-2</v>
      </c>
      <c r="Q28" s="2">
        <f t="shared" si="5"/>
        <v>11913.942999999999</v>
      </c>
    </row>
    <row r="29" spans="1:21" x14ac:dyDescent="0.2">
      <c r="A29" t="s">
        <v>40</v>
      </c>
      <c r="C29" s="8">
        <f>C$7</f>
        <v>35782.44</v>
      </c>
      <c r="D29" s="8" t="s">
        <v>13</v>
      </c>
      <c r="E29">
        <f t="shared" si="0"/>
        <v>0</v>
      </c>
      <c r="F29">
        <f t="shared" si="1"/>
        <v>0</v>
      </c>
      <c r="O29">
        <f t="shared" ca="1" si="4"/>
        <v>0.17634245888728889</v>
      </c>
      <c r="Q29" s="2">
        <f t="shared" si="5"/>
        <v>20763.940000000002</v>
      </c>
      <c r="U29">
        <f>+C29-(C$7+F29*C$8)</f>
        <v>0</v>
      </c>
    </row>
    <row r="30" spans="1:21" x14ac:dyDescent="0.2">
      <c r="A30" s="48" t="s">
        <v>102</v>
      </c>
      <c r="B30" s="50" t="s">
        <v>44</v>
      </c>
      <c r="C30" s="49">
        <v>55887.245199999998</v>
      </c>
      <c r="D30" s="8"/>
      <c r="E30">
        <f t="shared" si="0"/>
        <v>1756.0468866004589</v>
      </c>
      <c r="F30">
        <f t="shared" si="1"/>
        <v>1756</v>
      </c>
      <c r="G30">
        <f>+C30-(C$7+F30*C$8)</f>
        <v>0.53679999999440042</v>
      </c>
      <c r="K30">
        <f>+G30</f>
        <v>0.53679999999440042</v>
      </c>
      <c r="O30">
        <f t="shared" ca="1" si="4"/>
        <v>0.53267239587679205</v>
      </c>
      <c r="Q30" s="2">
        <f t="shared" si="5"/>
        <v>40868.745199999998</v>
      </c>
    </row>
    <row r="31" spans="1:21" x14ac:dyDescent="0.2">
      <c r="A31" s="31" t="s">
        <v>43</v>
      </c>
      <c r="B31" s="32" t="s">
        <v>44</v>
      </c>
      <c r="C31" s="33">
        <v>56505.492100000003</v>
      </c>
      <c r="D31" s="34">
        <v>1E-3</v>
      </c>
      <c r="E31">
        <f t="shared" si="0"/>
        <v>1810.0474368716646</v>
      </c>
      <c r="F31">
        <f t="shared" si="1"/>
        <v>1810</v>
      </c>
      <c r="G31">
        <f>+C31-(C$7+F31*C$8)</f>
        <v>0.5430999999953201</v>
      </c>
      <c r="I31">
        <f>+G31</f>
        <v>0.5430999999953201</v>
      </c>
      <c r="O31">
        <f t="shared" ca="1" si="4"/>
        <v>0.54363015020334848</v>
      </c>
      <c r="Q31" s="2">
        <f t="shared" si="5"/>
        <v>41486.992100000003</v>
      </c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0"/>
  <sheetViews>
    <sheetView workbookViewId="0">
      <selection activeCell="A13" sqref="A13:C21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5" t="s">
        <v>45</v>
      </c>
      <c r="I1" s="36" t="s">
        <v>46</v>
      </c>
      <c r="J1" s="37" t="s">
        <v>47</v>
      </c>
    </row>
    <row r="2" spans="1:16" x14ac:dyDescent="0.2">
      <c r="I2" s="38" t="s">
        <v>48</v>
      </c>
      <c r="J2" s="39" t="s">
        <v>49</v>
      </c>
    </row>
    <row r="3" spans="1:16" x14ac:dyDescent="0.2">
      <c r="A3" s="40" t="s">
        <v>50</v>
      </c>
      <c r="I3" s="38" t="s">
        <v>51</v>
      </c>
      <c r="J3" s="39" t="s">
        <v>52</v>
      </c>
    </row>
    <row r="4" spans="1:16" x14ac:dyDescent="0.2">
      <c r="I4" s="38" t="s">
        <v>53</v>
      </c>
      <c r="J4" s="39" t="s">
        <v>52</v>
      </c>
    </row>
    <row r="5" spans="1:16" ht="13.5" thickBot="1" x14ac:dyDescent="0.25">
      <c r="I5" s="41" t="s">
        <v>54</v>
      </c>
      <c r="J5" s="42" t="s">
        <v>55</v>
      </c>
    </row>
    <row r="10" spans="1:16" ht="13.5" thickBot="1" x14ac:dyDescent="0.25"/>
    <row r="11" spans="1:16" ht="12.75" customHeight="1" thickBot="1" x14ac:dyDescent="0.25">
      <c r="A11" s="8" t="str">
        <f t="shared" ref="A11:A21" si="0">P11</f>
        <v> AA 8.191 </v>
      </c>
      <c r="B11" s="3" t="str">
        <f t="shared" ref="B11:B21" si="1">IF(H11=INT(H11),"I","II")</f>
        <v>I</v>
      </c>
      <c r="C11" s="8">
        <f t="shared" ref="C11:C21" si="2">1*G11</f>
        <v>35782.44</v>
      </c>
      <c r="D11" s="10" t="str">
        <f t="shared" ref="D11:D21" si="3">VLOOKUP(F11,I$1:J$5,2,FALSE)</f>
        <v>vis</v>
      </c>
      <c r="E11" s="43">
        <f>VLOOKUP(C11,Active!C$21:E$973,3,FALSE)</f>
        <v>0</v>
      </c>
      <c r="F11" s="3" t="s">
        <v>54</v>
      </c>
      <c r="G11" s="10" t="str">
        <f t="shared" ref="G11:G21" si="4">MID(I11,3,LEN(I11)-3)</f>
        <v>35782.44</v>
      </c>
      <c r="H11" s="8">
        <f t="shared" ref="H11:H21" si="5">1*K11</f>
        <v>0</v>
      </c>
      <c r="I11" s="44" t="s">
        <v>91</v>
      </c>
      <c r="J11" s="45" t="s">
        <v>92</v>
      </c>
      <c r="K11" s="44">
        <v>0</v>
      </c>
      <c r="L11" s="44" t="s">
        <v>93</v>
      </c>
      <c r="M11" s="45" t="s">
        <v>73</v>
      </c>
      <c r="N11" s="45"/>
      <c r="O11" s="46" t="s">
        <v>94</v>
      </c>
      <c r="P11" s="46" t="s">
        <v>95</v>
      </c>
    </row>
    <row r="12" spans="1:16" ht="12.75" customHeight="1" thickBot="1" x14ac:dyDescent="0.25">
      <c r="A12" s="8" t="str">
        <f t="shared" si="0"/>
        <v>BAVM 234 </v>
      </c>
      <c r="B12" s="3" t="str">
        <f t="shared" si="1"/>
        <v>I</v>
      </c>
      <c r="C12" s="8">
        <f t="shared" si="2"/>
        <v>56505.492100000003</v>
      </c>
      <c r="D12" s="10" t="str">
        <f t="shared" si="3"/>
        <v>vis</v>
      </c>
      <c r="E12" s="43">
        <f>VLOOKUP(C12,Active!C$21:E$973,3,FALSE)</f>
        <v>1810.0474368716646</v>
      </c>
      <c r="F12" s="3" t="s">
        <v>54</v>
      </c>
      <c r="G12" s="10" t="str">
        <f t="shared" si="4"/>
        <v>56505.4921</v>
      </c>
      <c r="H12" s="8">
        <f t="shared" si="5"/>
        <v>1810</v>
      </c>
      <c r="I12" s="44" t="s">
        <v>103</v>
      </c>
      <c r="J12" s="45" t="s">
        <v>104</v>
      </c>
      <c r="K12" s="44" t="s">
        <v>105</v>
      </c>
      <c r="L12" s="44" t="s">
        <v>106</v>
      </c>
      <c r="M12" s="45" t="s">
        <v>99</v>
      </c>
      <c r="N12" s="45" t="s">
        <v>100</v>
      </c>
      <c r="O12" s="46" t="s">
        <v>101</v>
      </c>
      <c r="P12" s="47" t="s">
        <v>107</v>
      </c>
    </row>
    <row r="13" spans="1:16" ht="12.75" customHeight="1" thickBot="1" x14ac:dyDescent="0.25">
      <c r="A13" s="8" t="str">
        <f t="shared" si="0"/>
        <v> AJ 36.168 </v>
      </c>
      <c r="B13" s="3" t="str">
        <f t="shared" si="1"/>
        <v>I</v>
      </c>
      <c r="C13" s="8">
        <f t="shared" si="2"/>
        <v>24413.7</v>
      </c>
      <c r="D13" s="10" t="str">
        <f t="shared" si="3"/>
        <v>vis</v>
      </c>
      <c r="E13" s="43">
        <f>VLOOKUP(C13,Active!C$21:E$973,3,FALSE)</f>
        <v>-992.99845399994774</v>
      </c>
      <c r="F13" s="3" t="s">
        <v>54</v>
      </c>
      <c r="G13" s="10" t="str">
        <f t="shared" si="4"/>
        <v>24413.7</v>
      </c>
      <c r="H13" s="8">
        <f t="shared" si="5"/>
        <v>-993</v>
      </c>
      <c r="I13" s="44" t="s">
        <v>56</v>
      </c>
      <c r="J13" s="45" t="s">
        <v>57</v>
      </c>
      <c r="K13" s="44">
        <v>-993</v>
      </c>
      <c r="L13" s="44" t="s">
        <v>58</v>
      </c>
      <c r="M13" s="45" t="s">
        <v>59</v>
      </c>
      <c r="N13" s="45"/>
      <c r="O13" s="46" t="s">
        <v>60</v>
      </c>
      <c r="P13" s="46" t="s">
        <v>61</v>
      </c>
    </row>
    <row r="14" spans="1:16" ht="12.75" customHeight="1" thickBot="1" x14ac:dyDescent="0.25">
      <c r="A14" s="8" t="str">
        <f t="shared" si="0"/>
        <v> AN 229.455 </v>
      </c>
      <c r="B14" s="3" t="str">
        <f t="shared" si="1"/>
        <v>I</v>
      </c>
      <c r="C14" s="8">
        <f t="shared" si="2"/>
        <v>24711.38</v>
      </c>
      <c r="D14" s="10" t="str">
        <f t="shared" si="3"/>
        <v>vis</v>
      </c>
      <c r="E14" s="43">
        <f>VLOOKUP(C14,Active!C$21:E$973,3,FALSE)</f>
        <v>-966.99770283608041</v>
      </c>
      <c r="F14" s="3" t="s">
        <v>54</v>
      </c>
      <c r="G14" s="10" t="str">
        <f t="shared" si="4"/>
        <v>24711.38</v>
      </c>
      <c r="H14" s="8">
        <f t="shared" si="5"/>
        <v>-967</v>
      </c>
      <c r="I14" s="44" t="s">
        <v>62</v>
      </c>
      <c r="J14" s="45" t="s">
        <v>63</v>
      </c>
      <c r="K14" s="44">
        <v>-967</v>
      </c>
      <c r="L14" s="44" t="s">
        <v>64</v>
      </c>
      <c r="M14" s="45" t="s">
        <v>59</v>
      </c>
      <c r="N14" s="45"/>
      <c r="O14" s="46" t="s">
        <v>65</v>
      </c>
      <c r="P14" s="46" t="s">
        <v>66</v>
      </c>
    </row>
    <row r="15" spans="1:16" ht="12.75" customHeight="1" thickBot="1" x14ac:dyDescent="0.25">
      <c r="A15" s="8" t="str">
        <f t="shared" si="0"/>
        <v> AN 229.455 </v>
      </c>
      <c r="B15" s="3" t="str">
        <f t="shared" si="1"/>
        <v>I</v>
      </c>
      <c r="C15" s="8">
        <f t="shared" si="2"/>
        <v>24791.439999999999</v>
      </c>
      <c r="D15" s="10" t="str">
        <f t="shared" si="3"/>
        <v>vis</v>
      </c>
      <c r="E15" s="43">
        <f>VLOOKUP(C15,Active!C$21:E$973,3,FALSE)</f>
        <v>-960.00489129960113</v>
      </c>
      <c r="F15" s="3" t="s">
        <v>54</v>
      </c>
      <c r="G15" s="10" t="str">
        <f t="shared" si="4"/>
        <v>24791.44</v>
      </c>
      <c r="H15" s="8">
        <f t="shared" si="5"/>
        <v>-960</v>
      </c>
      <c r="I15" s="44" t="s">
        <v>67</v>
      </c>
      <c r="J15" s="45" t="s">
        <v>68</v>
      </c>
      <c r="K15" s="44">
        <v>-960</v>
      </c>
      <c r="L15" s="44" t="s">
        <v>69</v>
      </c>
      <c r="M15" s="45" t="s">
        <v>59</v>
      </c>
      <c r="N15" s="45"/>
      <c r="O15" s="46" t="s">
        <v>65</v>
      </c>
      <c r="P15" s="46" t="s">
        <v>66</v>
      </c>
    </row>
    <row r="16" spans="1:16" ht="12.75" customHeight="1" thickBot="1" x14ac:dyDescent="0.25">
      <c r="A16" s="8" t="str">
        <f t="shared" si="0"/>
        <v> PZ 4.50 </v>
      </c>
      <c r="B16" s="3" t="str">
        <f t="shared" si="1"/>
        <v>I</v>
      </c>
      <c r="C16" s="8">
        <f t="shared" si="2"/>
        <v>26234.03</v>
      </c>
      <c r="D16" s="10" t="str">
        <f t="shared" si="3"/>
        <v>vis</v>
      </c>
      <c r="E16" s="43">
        <f>VLOOKUP(C16,Active!C$21:E$973,3,FALSE)</f>
        <v>-834.00239324301924</v>
      </c>
      <c r="F16" s="3" t="s">
        <v>54</v>
      </c>
      <c r="G16" s="10" t="str">
        <f t="shared" si="4"/>
        <v>26234.03</v>
      </c>
      <c r="H16" s="8">
        <f t="shared" si="5"/>
        <v>-834</v>
      </c>
      <c r="I16" s="44" t="s">
        <v>70</v>
      </c>
      <c r="J16" s="45" t="s">
        <v>71</v>
      </c>
      <c r="K16" s="44">
        <v>-834</v>
      </c>
      <c r="L16" s="44" t="s">
        <v>72</v>
      </c>
      <c r="M16" s="45" t="s">
        <v>73</v>
      </c>
      <c r="N16" s="45"/>
      <c r="O16" s="46" t="s">
        <v>74</v>
      </c>
      <c r="P16" s="46" t="s">
        <v>75</v>
      </c>
    </row>
    <row r="17" spans="1:16" ht="12.75" customHeight="1" thickBot="1" x14ac:dyDescent="0.25">
      <c r="A17" s="8" t="str">
        <f t="shared" si="0"/>
        <v> AN 246.17 </v>
      </c>
      <c r="B17" s="3" t="str">
        <f t="shared" si="1"/>
        <v>I</v>
      </c>
      <c r="C17" s="8">
        <f t="shared" si="2"/>
        <v>26600.39</v>
      </c>
      <c r="D17" s="10" t="str">
        <f t="shared" si="3"/>
        <v>vis</v>
      </c>
      <c r="E17" s="43">
        <f>VLOOKUP(C17,Active!C$21:E$973,3,FALSE)</f>
        <v>-802.00281249727072</v>
      </c>
      <c r="F17" s="3" t="s">
        <v>54</v>
      </c>
      <c r="G17" s="10" t="str">
        <f t="shared" si="4"/>
        <v>26600.39</v>
      </c>
      <c r="H17" s="8">
        <f t="shared" si="5"/>
        <v>-802</v>
      </c>
      <c r="I17" s="44" t="s">
        <v>76</v>
      </c>
      <c r="J17" s="45" t="s">
        <v>77</v>
      </c>
      <c r="K17" s="44">
        <v>-802</v>
      </c>
      <c r="L17" s="44" t="s">
        <v>72</v>
      </c>
      <c r="M17" s="45" t="s">
        <v>59</v>
      </c>
      <c r="N17" s="45"/>
      <c r="O17" s="46" t="s">
        <v>78</v>
      </c>
      <c r="P17" s="46" t="s">
        <v>79</v>
      </c>
    </row>
    <row r="18" spans="1:16" ht="12.75" customHeight="1" thickBot="1" x14ac:dyDescent="0.25">
      <c r="A18" s="8" t="str">
        <f t="shared" si="0"/>
        <v> AN 246.17 </v>
      </c>
      <c r="B18" s="3" t="str">
        <f t="shared" si="1"/>
        <v>I</v>
      </c>
      <c r="C18" s="8">
        <f t="shared" si="2"/>
        <v>26623.34</v>
      </c>
      <c r="D18" s="10" t="str">
        <f t="shared" si="3"/>
        <v>vis</v>
      </c>
      <c r="E18" s="43">
        <f>VLOOKUP(C18,Active!C$21:E$973,3,FALSE)</f>
        <v>-799.99825310728556</v>
      </c>
      <c r="F18" s="3" t="s">
        <v>54</v>
      </c>
      <c r="G18" s="10" t="str">
        <f t="shared" si="4"/>
        <v>26623.34</v>
      </c>
      <c r="H18" s="8">
        <f t="shared" si="5"/>
        <v>-800</v>
      </c>
      <c r="I18" s="44" t="s">
        <v>80</v>
      </c>
      <c r="J18" s="45" t="s">
        <v>81</v>
      </c>
      <c r="K18" s="44">
        <v>-800</v>
      </c>
      <c r="L18" s="44" t="s">
        <v>82</v>
      </c>
      <c r="M18" s="45" t="s">
        <v>59</v>
      </c>
      <c r="N18" s="45"/>
      <c r="O18" s="46" t="s">
        <v>78</v>
      </c>
      <c r="P18" s="46" t="s">
        <v>79</v>
      </c>
    </row>
    <row r="19" spans="1:16" ht="12.75" customHeight="1" thickBot="1" x14ac:dyDescent="0.25">
      <c r="A19" s="8" t="str">
        <f t="shared" si="0"/>
        <v> PZ 4.50 </v>
      </c>
      <c r="B19" s="3" t="str">
        <f t="shared" si="1"/>
        <v>I</v>
      </c>
      <c r="C19" s="8">
        <f t="shared" si="2"/>
        <v>26623.37</v>
      </c>
      <c r="D19" s="10" t="str">
        <f t="shared" si="3"/>
        <v>vis</v>
      </c>
      <c r="E19" s="43">
        <f>VLOOKUP(C19,Active!C$21:E$973,3,FALSE)</f>
        <v>-799.9956327682138</v>
      </c>
      <c r="F19" s="3" t="s">
        <v>54</v>
      </c>
      <c r="G19" s="10" t="str">
        <f t="shared" si="4"/>
        <v>26623.37</v>
      </c>
      <c r="H19" s="8">
        <f t="shared" si="5"/>
        <v>-800</v>
      </c>
      <c r="I19" s="44" t="s">
        <v>83</v>
      </c>
      <c r="J19" s="45" t="s">
        <v>84</v>
      </c>
      <c r="K19" s="44">
        <v>-800</v>
      </c>
      <c r="L19" s="44" t="s">
        <v>85</v>
      </c>
      <c r="M19" s="45" t="s">
        <v>73</v>
      </c>
      <c r="N19" s="45"/>
      <c r="O19" s="46" t="s">
        <v>86</v>
      </c>
      <c r="P19" s="46" t="s">
        <v>75</v>
      </c>
    </row>
    <row r="20" spans="1:16" ht="12.75" customHeight="1" thickBot="1" x14ac:dyDescent="0.25">
      <c r="A20" s="8" t="str">
        <f t="shared" si="0"/>
        <v> AN 247.357 </v>
      </c>
      <c r="B20" s="3" t="str">
        <f t="shared" si="1"/>
        <v>I</v>
      </c>
      <c r="C20" s="8">
        <f t="shared" si="2"/>
        <v>26932.442999999999</v>
      </c>
      <c r="D20" s="10" t="str">
        <f t="shared" si="3"/>
        <v>vis</v>
      </c>
      <c r="E20" s="43">
        <f>VLOOKUP(C20,Active!C$21:E$973,3,FALSE)</f>
        <v>-772.9997641694838</v>
      </c>
      <c r="F20" s="3" t="s">
        <v>54</v>
      </c>
      <c r="G20" s="10" t="str">
        <f t="shared" si="4"/>
        <v>26932.443</v>
      </c>
      <c r="H20" s="8">
        <f t="shared" si="5"/>
        <v>-773</v>
      </c>
      <c r="I20" s="44" t="s">
        <v>87</v>
      </c>
      <c r="J20" s="45" t="s">
        <v>88</v>
      </c>
      <c r="K20" s="44">
        <v>-773</v>
      </c>
      <c r="L20" s="44" t="s">
        <v>89</v>
      </c>
      <c r="M20" s="45" t="s">
        <v>73</v>
      </c>
      <c r="N20" s="45"/>
      <c r="O20" s="46" t="s">
        <v>78</v>
      </c>
      <c r="P20" s="46" t="s">
        <v>90</v>
      </c>
    </row>
    <row r="21" spans="1:16" ht="12.75" customHeight="1" thickBot="1" x14ac:dyDescent="0.25">
      <c r="A21" s="8" t="str">
        <f t="shared" si="0"/>
        <v>BAVM 225 </v>
      </c>
      <c r="B21" s="3" t="str">
        <f t="shared" si="1"/>
        <v>I</v>
      </c>
      <c r="C21" s="8">
        <f t="shared" si="2"/>
        <v>55887.245199999998</v>
      </c>
      <c r="D21" s="10" t="str">
        <f t="shared" si="3"/>
        <v>vis</v>
      </c>
      <c r="E21" s="43">
        <f>VLOOKUP(C21,Active!C$21:E$973,3,FALSE)</f>
        <v>1756.0468866004589</v>
      </c>
      <c r="F21" s="3" t="s">
        <v>54</v>
      </c>
      <c r="G21" s="10" t="str">
        <f t="shared" si="4"/>
        <v>55887.2452</v>
      </c>
      <c r="H21" s="8">
        <f t="shared" si="5"/>
        <v>1756</v>
      </c>
      <c r="I21" s="44" t="s">
        <v>96</v>
      </c>
      <c r="J21" s="45" t="s">
        <v>97</v>
      </c>
      <c r="K21" s="44">
        <v>1756</v>
      </c>
      <c r="L21" s="44" t="s">
        <v>98</v>
      </c>
      <c r="M21" s="45" t="s">
        <v>99</v>
      </c>
      <c r="N21" s="45" t="s">
        <v>100</v>
      </c>
      <c r="O21" s="46" t="s">
        <v>101</v>
      </c>
      <c r="P21" s="47" t="s">
        <v>102</v>
      </c>
    </row>
    <row r="22" spans="1:16" x14ac:dyDescent="0.2">
      <c r="B22" s="3"/>
      <c r="E22" s="43"/>
      <c r="F22" s="3"/>
    </row>
    <row r="23" spans="1:16" x14ac:dyDescent="0.2">
      <c r="B23" s="3"/>
      <c r="E23" s="43"/>
      <c r="F23" s="3"/>
    </row>
    <row r="24" spans="1:16" x14ac:dyDescent="0.2">
      <c r="B24" s="3"/>
      <c r="E24" s="43"/>
      <c r="F24" s="3"/>
    </row>
    <row r="25" spans="1:16" x14ac:dyDescent="0.2">
      <c r="B25" s="3"/>
      <c r="E25" s="43"/>
      <c r="F25" s="3"/>
    </row>
    <row r="26" spans="1:16" x14ac:dyDescent="0.2">
      <c r="B26" s="3"/>
      <c r="E26" s="43"/>
      <c r="F26" s="3"/>
    </row>
    <row r="27" spans="1:16" x14ac:dyDescent="0.2">
      <c r="B27" s="3"/>
      <c r="E27" s="43"/>
      <c r="F27" s="3"/>
    </row>
    <row r="28" spans="1:16" x14ac:dyDescent="0.2">
      <c r="B28" s="3"/>
      <c r="E28" s="43"/>
      <c r="F28" s="3"/>
    </row>
    <row r="29" spans="1:16" x14ac:dyDescent="0.2">
      <c r="B29" s="3"/>
      <c r="E29" s="43"/>
      <c r="F29" s="3"/>
    </row>
    <row r="30" spans="1:16" x14ac:dyDescent="0.2">
      <c r="B30" s="3"/>
      <c r="E30" s="43"/>
      <c r="F30" s="3"/>
    </row>
    <row r="31" spans="1:16" x14ac:dyDescent="0.2">
      <c r="B31" s="3"/>
      <c r="E31" s="43"/>
      <c r="F31" s="3"/>
    </row>
    <row r="32" spans="1:16" x14ac:dyDescent="0.2">
      <c r="B32" s="3"/>
      <c r="E32" s="43"/>
      <c r="F32" s="3"/>
    </row>
    <row r="33" spans="2:6" x14ac:dyDescent="0.2">
      <c r="B33" s="3"/>
      <c r="E33" s="43"/>
      <c r="F33" s="3"/>
    </row>
    <row r="34" spans="2:6" x14ac:dyDescent="0.2">
      <c r="B34" s="3"/>
      <c r="E34" s="43"/>
      <c r="F34" s="3"/>
    </row>
    <row r="35" spans="2:6" x14ac:dyDescent="0.2">
      <c r="B35" s="3"/>
      <c r="E35" s="43"/>
      <c r="F35" s="3"/>
    </row>
    <row r="36" spans="2:6" x14ac:dyDescent="0.2">
      <c r="B36" s="3"/>
      <c r="E36" s="43"/>
      <c r="F36" s="3"/>
    </row>
    <row r="37" spans="2:6" x14ac:dyDescent="0.2">
      <c r="B37" s="3"/>
      <c r="E37" s="43"/>
      <c r="F37" s="3"/>
    </row>
    <row r="38" spans="2:6" x14ac:dyDescent="0.2">
      <c r="B38" s="3"/>
      <c r="E38" s="43"/>
      <c r="F38" s="3"/>
    </row>
    <row r="39" spans="2:6" x14ac:dyDescent="0.2">
      <c r="B39" s="3"/>
      <c r="E39" s="43"/>
      <c r="F39" s="3"/>
    </row>
    <row r="40" spans="2:6" x14ac:dyDescent="0.2">
      <c r="B40" s="3"/>
      <c r="E40" s="43"/>
      <c r="F40" s="3"/>
    </row>
    <row r="41" spans="2:6" x14ac:dyDescent="0.2">
      <c r="B41" s="3"/>
      <c r="E41" s="43"/>
      <c r="F41" s="3"/>
    </row>
    <row r="42" spans="2:6" x14ac:dyDescent="0.2">
      <c r="B42" s="3"/>
      <c r="E42" s="43"/>
      <c r="F42" s="3"/>
    </row>
    <row r="43" spans="2:6" x14ac:dyDescent="0.2">
      <c r="B43" s="3"/>
      <c r="E43" s="43"/>
      <c r="F43" s="3"/>
    </row>
    <row r="44" spans="2:6" x14ac:dyDescent="0.2">
      <c r="B44" s="3"/>
      <c r="E44" s="43"/>
      <c r="F44" s="3"/>
    </row>
    <row r="45" spans="2:6" x14ac:dyDescent="0.2">
      <c r="B45" s="3"/>
      <c r="E45" s="43"/>
      <c r="F45" s="3"/>
    </row>
    <row r="46" spans="2:6" x14ac:dyDescent="0.2">
      <c r="B46" s="3"/>
      <c r="E46" s="43"/>
      <c r="F46" s="3"/>
    </row>
    <row r="47" spans="2:6" x14ac:dyDescent="0.2">
      <c r="B47" s="3"/>
      <c r="E47" s="43"/>
      <c r="F47" s="3"/>
    </row>
    <row r="48" spans="2:6" x14ac:dyDescent="0.2">
      <c r="B48" s="3"/>
      <c r="E48" s="43"/>
      <c r="F48" s="3"/>
    </row>
    <row r="49" spans="2:6" x14ac:dyDescent="0.2">
      <c r="B49" s="3"/>
      <c r="E49" s="43"/>
      <c r="F49" s="3"/>
    </row>
    <row r="50" spans="2:6" x14ac:dyDescent="0.2">
      <c r="B50" s="3"/>
      <c r="E50" s="43"/>
      <c r="F50" s="3"/>
    </row>
    <row r="51" spans="2:6" x14ac:dyDescent="0.2">
      <c r="B51" s="3"/>
      <c r="E51" s="43"/>
      <c r="F51" s="3"/>
    </row>
    <row r="52" spans="2:6" x14ac:dyDescent="0.2">
      <c r="B52" s="3"/>
      <c r="E52" s="4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</sheetData>
  <phoneticPr fontId="7" type="noConversion"/>
  <hyperlinks>
    <hyperlink ref="P21" r:id="rId1" display="http://www.bav-astro.de/sfs/BAVM_link.php?BAVMnr=225"/>
    <hyperlink ref="P12" r:id="rId2" display="http://www.bav-astro.de/sfs/BAVM_link.php?BAVMnr=234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2024-02-17T03:29:20Z</dcterms:modified>
</cp:coreProperties>
</file>