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12F8890-8522-49E0-AC27-78214555FB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Q75" i="3" l="1"/>
  <c r="Q74" i="3"/>
  <c r="Q67" i="3"/>
  <c r="Q68" i="3"/>
  <c r="Q69" i="3"/>
  <c r="Q70" i="3"/>
  <c r="Q71" i="3"/>
  <c r="Q72" i="3"/>
  <c r="Q73" i="3"/>
  <c r="D9" i="3"/>
  <c r="C9" i="3"/>
  <c r="Q21" i="3"/>
  <c r="Q22" i="3"/>
  <c r="Q23" i="3"/>
  <c r="Q24" i="3"/>
  <c r="Q26" i="3"/>
  <c r="Q27" i="3"/>
  <c r="Q28" i="3"/>
  <c r="Q37" i="3"/>
  <c r="Q39" i="3"/>
  <c r="Q53" i="3"/>
  <c r="Q54" i="3"/>
  <c r="Q55" i="3"/>
  <c r="Q56" i="3"/>
  <c r="Q57" i="3"/>
  <c r="Q58" i="3"/>
  <c r="Q59" i="3"/>
  <c r="Q61" i="3"/>
  <c r="Q62" i="3"/>
  <c r="Q63" i="3"/>
  <c r="G35" i="4"/>
  <c r="C35" i="4"/>
  <c r="G34" i="4"/>
  <c r="C34" i="4"/>
  <c r="E34" i="4"/>
  <c r="G33" i="4"/>
  <c r="C33" i="4"/>
  <c r="G54" i="4"/>
  <c r="C54" i="4"/>
  <c r="E54" i="4"/>
  <c r="G53" i="4"/>
  <c r="C53" i="4"/>
  <c r="G52" i="4"/>
  <c r="C52" i="4"/>
  <c r="E52" i="4"/>
  <c r="G32" i="4"/>
  <c r="C32" i="4"/>
  <c r="E32" i="4"/>
  <c r="G51" i="4"/>
  <c r="C51" i="4"/>
  <c r="E51" i="4"/>
  <c r="G50" i="4"/>
  <c r="C50" i="4"/>
  <c r="G49" i="4"/>
  <c r="C49" i="4"/>
  <c r="E49" i="4"/>
  <c r="G48" i="4"/>
  <c r="C48" i="4"/>
  <c r="G47" i="4"/>
  <c r="C47" i="4"/>
  <c r="G46" i="4"/>
  <c r="C46" i="4"/>
  <c r="G45" i="4"/>
  <c r="C45" i="4"/>
  <c r="E45" i="4"/>
  <c r="G31" i="4"/>
  <c r="C31" i="4"/>
  <c r="E31" i="4"/>
  <c r="G30" i="4"/>
  <c r="C30" i="4"/>
  <c r="G29" i="4"/>
  <c r="C29" i="4"/>
  <c r="G28" i="4"/>
  <c r="C28" i="4"/>
  <c r="E28" i="4"/>
  <c r="G27" i="4"/>
  <c r="C27" i="4"/>
  <c r="G26" i="4"/>
  <c r="C26" i="4"/>
  <c r="E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E19" i="4"/>
  <c r="G44" i="4"/>
  <c r="C44" i="4"/>
  <c r="G18" i="4"/>
  <c r="C18" i="4"/>
  <c r="G43" i="4"/>
  <c r="C43" i="4"/>
  <c r="E43" i="4"/>
  <c r="G17" i="4"/>
  <c r="C17" i="4"/>
  <c r="E17" i="4"/>
  <c r="G16" i="4"/>
  <c r="C16" i="4"/>
  <c r="E16" i="4"/>
  <c r="G15" i="4"/>
  <c r="C15" i="4"/>
  <c r="G14" i="4"/>
  <c r="C14" i="4"/>
  <c r="E14" i="4"/>
  <c r="G13" i="4"/>
  <c r="C13" i="4"/>
  <c r="E13" i="4"/>
  <c r="G12" i="4"/>
  <c r="C12" i="4"/>
  <c r="E12" i="4"/>
  <c r="G11" i="4"/>
  <c r="C11" i="4"/>
  <c r="G42" i="4"/>
  <c r="C42" i="4"/>
  <c r="E42" i="4"/>
  <c r="G41" i="4"/>
  <c r="C41" i="4"/>
  <c r="G40" i="4"/>
  <c r="C40" i="4"/>
  <c r="E40" i="4"/>
  <c r="G39" i="4"/>
  <c r="C39" i="4"/>
  <c r="G38" i="4"/>
  <c r="C38" i="4"/>
  <c r="E38" i="4"/>
  <c r="G37" i="4"/>
  <c r="C37" i="4"/>
  <c r="E37" i="4"/>
  <c r="G36" i="4"/>
  <c r="C36" i="4"/>
  <c r="E36" i="4"/>
  <c r="H35" i="4"/>
  <c r="B35" i="4"/>
  <c r="D35" i="4"/>
  <c r="A35" i="4"/>
  <c r="H34" i="4"/>
  <c r="B34" i="4"/>
  <c r="D34" i="4"/>
  <c r="A34" i="4"/>
  <c r="H33" i="4"/>
  <c r="B33" i="4"/>
  <c r="D33" i="4"/>
  <c r="A33" i="4"/>
  <c r="H54" i="4"/>
  <c r="B54" i="4"/>
  <c r="D54" i="4"/>
  <c r="A54" i="4"/>
  <c r="H53" i="4"/>
  <c r="B53" i="4"/>
  <c r="D53" i="4"/>
  <c r="A53" i="4"/>
  <c r="H52" i="4"/>
  <c r="B52" i="4"/>
  <c r="D52" i="4"/>
  <c r="A52" i="4"/>
  <c r="H32" i="4"/>
  <c r="B32" i="4"/>
  <c r="D32" i="4"/>
  <c r="A3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44" i="4"/>
  <c r="B44" i="4"/>
  <c r="D44" i="4"/>
  <c r="A44" i="4"/>
  <c r="H18" i="4"/>
  <c r="B18" i="4"/>
  <c r="D18" i="4"/>
  <c r="A18" i="4"/>
  <c r="H43" i="4"/>
  <c r="B43" i="4"/>
  <c r="D43" i="4"/>
  <c r="A43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Q60" i="3"/>
  <c r="Q65" i="3"/>
  <c r="Q66" i="3"/>
  <c r="Q64" i="3"/>
  <c r="Q30" i="3"/>
  <c r="Q31" i="3"/>
  <c r="Q32" i="3"/>
  <c r="Q33" i="3"/>
  <c r="Q34" i="3"/>
  <c r="Q35" i="3"/>
  <c r="Q36" i="3"/>
  <c r="Q38" i="3"/>
  <c r="Q43" i="3"/>
  <c r="Q44" i="3"/>
  <c r="Q45" i="3"/>
  <c r="Q47" i="3"/>
  <c r="Q48" i="3"/>
  <c r="Q49" i="3"/>
  <c r="Q50" i="3"/>
  <c r="Q51" i="3"/>
  <c r="Q52" i="3"/>
  <c r="F16" i="3"/>
  <c r="F17" i="3" s="1"/>
  <c r="C17" i="3"/>
  <c r="C7" i="3"/>
  <c r="C8" i="3"/>
  <c r="E27" i="3"/>
  <c r="F27" i="3"/>
  <c r="G27" i="3"/>
  <c r="K27" i="3"/>
  <c r="Q29" i="3"/>
  <c r="Q46" i="3"/>
  <c r="Q25" i="3"/>
  <c r="Q40" i="3"/>
  <c r="Q42" i="3"/>
  <c r="Q41" i="3"/>
  <c r="C7" i="2"/>
  <c r="C8" i="2"/>
  <c r="E24" i="2"/>
  <c r="F24" i="2"/>
  <c r="G24" i="2"/>
  <c r="I24" i="2"/>
  <c r="G21" i="2"/>
  <c r="H21" i="2"/>
  <c r="Q21" i="2"/>
  <c r="Q22" i="2"/>
  <c r="E23" i="2"/>
  <c r="F23" i="2"/>
  <c r="G23" i="2"/>
  <c r="I23" i="2"/>
  <c r="Q23" i="2"/>
  <c r="Q24" i="2"/>
  <c r="Q24" i="1"/>
  <c r="Q22" i="1"/>
  <c r="Q23" i="1"/>
  <c r="C7" i="1"/>
  <c r="E21" i="1"/>
  <c r="C8" i="1"/>
  <c r="Q21" i="1"/>
  <c r="E31" i="3"/>
  <c r="F31" i="3"/>
  <c r="G31" i="3"/>
  <c r="I31" i="3"/>
  <c r="E28" i="3"/>
  <c r="E49" i="3"/>
  <c r="F49" i="3"/>
  <c r="G49" i="3"/>
  <c r="I49" i="3"/>
  <c r="E22" i="2"/>
  <c r="F22" i="2"/>
  <c r="G22" i="2"/>
  <c r="E21" i="2"/>
  <c r="E25" i="3"/>
  <c r="F25" i="3"/>
  <c r="G25" i="3"/>
  <c r="H25" i="3"/>
  <c r="E52" i="3"/>
  <c r="F52" i="3"/>
  <c r="G52" i="3"/>
  <c r="I52" i="3"/>
  <c r="E40" i="3"/>
  <c r="F40" i="3"/>
  <c r="G40" i="3"/>
  <c r="I40" i="3"/>
  <c r="E34" i="3"/>
  <c r="F34" i="3"/>
  <c r="G34" i="3"/>
  <c r="I34" i="3"/>
  <c r="E30" i="3"/>
  <c r="F30" i="3"/>
  <c r="G30" i="3"/>
  <c r="I30" i="3"/>
  <c r="E61" i="3"/>
  <c r="F61" i="3"/>
  <c r="G61" i="3"/>
  <c r="K61" i="3"/>
  <c r="F28" i="3"/>
  <c r="G28" i="3"/>
  <c r="K28" i="3"/>
  <c r="E65" i="3"/>
  <c r="F65" i="3"/>
  <c r="G65" i="3"/>
  <c r="K65" i="3"/>
  <c r="E47" i="3"/>
  <c r="F47" i="3"/>
  <c r="E38" i="3"/>
  <c r="E33" i="3"/>
  <c r="F33" i="3"/>
  <c r="G33" i="3"/>
  <c r="I33" i="3"/>
  <c r="E59" i="3"/>
  <c r="F59" i="3"/>
  <c r="G59" i="3"/>
  <c r="K59" i="3"/>
  <c r="E37" i="3"/>
  <c r="F37" i="3"/>
  <c r="G37" i="3"/>
  <c r="K37" i="3"/>
  <c r="E22" i="3"/>
  <c r="F22" i="3"/>
  <c r="G22" i="3"/>
  <c r="K22" i="3"/>
  <c r="E50" i="3"/>
  <c r="E46" i="3"/>
  <c r="E25" i="4"/>
  <c r="E42" i="3"/>
  <c r="E36" i="3"/>
  <c r="F36" i="3"/>
  <c r="G36" i="3"/>
  <c r="I36" i="3"/>
  <c r="E32" i="3"/>
  <c r="F32" i="3"/>
  <c r="G32" i="3"/>
  <c r="I32" i="3"/>
  <c r="E63" i="3"/>
  <c r="F63" i="3"/>
  <c r="G63" i="3"/>
  <c r="K63" i="3"/>
  <c r="E54" i="3"/>
  <c r="F54" i="3"/>
  <c r="G54" i="3"/>
  <c r="K54" i="3"/>
  <c r="E21" i="3"/>
  <c r="F21" i="3"/>
  <c r="G21" i="3"/>
  <c r="K21" i="3"/>
  <c r="E22" i="1"/>
  <c r="F22" i="1"/>
  <c r="E60" i="3"/>
  <c r="F60" i="3"/>
  <c r="G60" i="3"/>
  <c r="I60" i="3"/>
  <c r="G47" i="3"/>
  <c r="I47" i="3"/>
  <c r="E35" i="3"/>
  <c r="F35" i="3"/>
  <c r="G35" i="3"/>
  <c r="I35" i="3"/>
  <c r="E62" i="3"/>
  <c r="E53" i="4"/>
  <c r="E57" i="3"/>
  <c r="F57" i="3"/>
  <c r="G57" i="3"/>
  <c r="K57" i="3"/>
  <c r="E53" i="3"/>
  <c r="F53" i="3"/>
  <c r="G53" i="3"/>
  <c r="K53" i="3"/>
  <c r="E26" i="3"/>
  <c r="F26" i="3"/>
  <c r="G26" i="3"/>
  <c r="K26" i="3"/>
  <c r="E23" i="3"/>
  <c r="F23" i="3"/>
  <c r="G23" i="3"/>
  <c r="K23" i="3"/>
  <c r="E46" i="4"/>
  <c r="F38" i="3"/>
  <c r="G38" i="3"/>
  <c r="I38" i="3"/>
  <c r="E18" i="4"/>
  <c r="E15" i="4"/>
  <c r="F42" i="3"/>
  <c r="G42" i="3"/>
  <c r="I42" i="3"/>
  <c r="E21" i="4"/>
  <c r="F50" i="3"/>
  <c r="G50" i="3"/>
  <c r="I50" i="3"/>
  <c r="E29" i="4"/>
  <c r="E41" i="4"/>
  <c r="E20" i="4"/>
  <c r="E22" i="4"/>
  <c r="E33" i="4"/>
  <c r="I22" i="2"/>
  <c r="C11" i="2"/>
  <c r="G67" i="3"/>
  <c r="K67" i="3"/>
  <c r="E72" i="3"/>
  <c r="F72" i="3"/>
  <c r="G70" i="3"/>
  <c r="K70" i="3"/>
  <c r="G73" i="3"/>
  <c r="K73" i="3"/>
  <c r="E67" i="3"/>
  <c r="F67" i="3"/>
  <c r="F46" i="3"/>
  <c r="G46" i="3"/>
  <c r="J46" i="3"/>
  <c r="E58" i="3"/>
  <c r="E24" i="3"/>
  <c r="E29" i="3"/>
  <c r="E39" i="3"/>
  <c r="F39" i="3"/>
  <c r="G39" i="3"/>
  <c r="K39" i="3"/>
  <c r="E66" i="3"/>
  <c r="E70" i="3"/>
  <c r="F70" i="3"/>
  <c r="E64" i="3"/>
  <c r="F64" i="3"/>
  <c r="G64" i="3"/>
  <c r="K64" i="3"/>
  <c r="E51" i="3"/>
  <c r="F51" i="3"/>
  <c r="G51" i="3"/>
  <c r="I51" i="3"/>
  <c r="E44" i="3"/>
  <c r="F44" i="3"/>
  <c r="G44" i="3"/>
  <c r="I44" i="3"/>
  <c r="E24" i="1"/>
  <c r="F24" i="1"/>
  <c r="G24" i="1"/>
  <c r="I24" i="1"/>
  <c r="E41" i="3"/>
  <c r="F41" i="3"/>
  <c r="G41" i="3"/>
  <c r="I41" i="3"/>
  <c r="G23" i="1"/>
  <c r="I23" i="1"/>
  <c r="E73" i="3"/>
  <c r="F73" i="3"/>
  <c r="E75" i="3"/>
  <c r="F75" i="3"/>
  <c r="G75" i="3"/>
  <c r="K75" i="3"/>
  <c r="E68" i="3"/>
  <c r="F68" i="3"/>
  <c r="G68" i="3"/>
  <c r="K68" i="3"/>
  <c r="E23" i="1"/>
  <c r="F23" i="1"/>
  <c r="E71" i="3"/>
  <c r="F71" i="3"/>
  <c r="G71" i="3"/>
  <c r="K71" i="3"/>
  <c r="G69" i="3"/>
  <c r="K69" i="3"/>
  <c r="C12" i="2"/>
  <c r="C16" i="2"/>
  <c r="D18" i="2"/>
  <c r="F62" i="3"/>
  <c r="G62" i="3"/>
  <c r="K62" i="3"/>
  <c r="E45" i="3"/>
  <c r="F45" i="3"/>
  <c r="G45" i="3"/>
  <c r="I45" i="3"/>
  <c r="G22" i="1"/>
  <c r="I22" i="1"/>
  <c r="E56" i="3"/>
  <c r="F56" i="3"/>
  <c r="G56" i="3"/>
  <c r="K56" i="3"/>
  <c r="G72" i="3"/>
  <c r="K72" i="3"/>
  <c r="E74" i="3"/>
  <c r="F74" i="3"/>
  <c r="G74" i="3"/>
  <c r="K74" i="3"/>
  <c r="E55" i="3"/>
  <c r="F55" i="3"/>
  <c r="G55" i="3"/>
  <c r="K55" i="3"/>
  <c r="E43" i="3"/>
  <c r="F43" i="3"/>
  <c r="G43" i="3"/>
  <c r="I43" i="3"/>
  <c r="E48" i="3"/>
  <c r="F48" i="3"/>
  <c r="G48" i="3"/>
  <c r="I48" i="3"/>
  <c r="G21" i="1"/>
  <c r="E69" i="3"/>
  <c r="F69" i="3"/>
  <c r="E11" i="4"/>
  <c r="F29" i="3"/>
  <c r="G29" i="3"/>
  <c r="E24" i="4"/>
  <c r="E39" i="4"/>
  <c r="F24" i="3"/>
  <c r="G24" i="3"/>
  <c r="K24" i="3"/>
  <c r="E44" i="4"/>
  <c r="E48" i="4"/>
  <c r="H21" i="1"/>
  <c r="C12" i="1"/>
  <c r="C16" i="1"/>
  <c r="D18" i="1"/>
  <c r="C11" i="1"/>
  <c r="O21" i="2"/>
  <c r="O23" i="2"/>
  <c r="O22" i="2"/>
  <c r="C15" i="2"/>
  <c r="C18" i="2"/>
  <c r="O24" i="2"/>
  <c r="E47" i="4"/>
  <c r="E50" i="4"/>
  <c r="F58" i="3"/>
  <c r="G58" i="3"/>
  <c r="K58" i="3"/>
  <c r="E23" i="4"/>
  <c r="E27" i="4"/>
  <c r="E35" i="4"/>
  <c r="F66" i="3"/>
  <c r="G66" i="3"/>
  <c r="K66" i="3"/>
  <c r="E30" i="4"/>
  <c r="O24" i="1"/>
  <c r="O22" i="1"/>
  <c r="O21" i="1"/>
  <c r="O23" i="1"/>
  <c r="C15" i="1"/>
  <c r="C18" i="1"/>
  <c r="I29" i="3"/>
  <c r="C11" i="3"/>
  <c r="C12" i="3"/>
  <c r="C16" i="3" l="1"/>
  <c r="D18" i="3" s="1"/>
  <c r="O32" i="3"/>
  <c r="O44" i="3"/>
  <c r="O46" i="3"/>
  <c r="O47" i="3"/>
  <c r="O43" i="3"/>
  <c r="O62" i="3"/>
  <c r="O42" i="3"/>
  <c r="O68" i="3"/>
  <c r="O74" i="3"/>
  <c r="O72" i="3"/>
  <c r="O41" i="3"/>
  <c r="O61" i="3"/>
  <c r="O33" i="3"/>
  <c r="O63" i="3"/>
  <c r="O39" i="3"/>
  <c r="O48" i="3"/>
  <c r="O75" i="3"/>
  <c r="O50" i="3"/>
  <c r="O70" i="3"/>
  <c r="O57" i="3"/>
  <c r="O34" i="3"/>
  <c r="O65" i="3"/>
  <c r="O31" i="3"/>
  <c r="O73" i="3"/>
  <c r="O53" i="3"/>
  <c r="O51" i="3"/>
  <c r="O36" i="3"/>
  <c r="O58" i="3"/>
  <c r="O29" i="3"/>
  <c r="O30" i="3"/>
  <c r="O38" i="3"/>
  <c r="O45" i="3"/>
  <c r="O37" i="3"/>
  <c r="O60" i="3"/>
  <c r="O56" i="3"/>
  <c r="O55" i="3"/>
  <c r="O59" i="3"/>
  <c r="O69" i="3"/>
  <c r="O49" i="3"/>
  <c r="O71" i="3"/>
  <c r="C15" i="3"/>
  <c r="O35" i="3"/>
  <c r="O66" i="3"/>
  <c r="O64" i="3"/>
  <c r="O67" i="3"/>
  <c r="O54" i="3"/>
  <c r="O40" i="3"/>
  <c r="O52" i="3"/>
  <c r="C18" i="3" l="1"/>
  <c r="F18" i="3"/>
  <c r="F19" i="3" s="1"/>
</calcChain>
</file>

<file path=xl/sharedStrings.xml><?xml version="1.0" encoding="utf-8"?>
<sst xmlns="http://schemas.openxmlformats.org/spreadsheetml/2006/main" count="611" uniqueCount="261">
  <si>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</si>
  <si>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</si>
  <si>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</si>
  <si>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</si>
  <si>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</si>
  <si>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</si>
  <si>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</si>
  <si>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</si>
  <si>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</si>
  <si>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</si>
  <si>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</si>
  <si>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</si>
  <si>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</si>
  <si>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</si>
  <si>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</si>
  <si>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</si>
  <si>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</si>
  <si>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</si>
  <si>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</si>
  <si>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</si>
  <si>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</si>
  <si>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</si>
  <si>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</si>
  <si>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</si>
  <si>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</si>
  <si>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</si>
  <si>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</si>
  <si>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</si>
  <si>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</si>
  <si>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</si>
  <si>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</si>
  <si>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</si>
  <si>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V342 Lac</t>
  </si>
  <si>
    <t>IBVS 5484</t>
  </si>
  <si>
    <t>IBVS 5378</t>
  </si>
  <si>
    <t>II</t>
  </si>
  <si>
    <t>IBVS</t>
  </si>
  <si>
    <t>Page C seems to be best.</t>
  </si>
  <si>
    <t>IBVS 5602</t>
  </si>
  <si>
    <t>IBVS 5643</t>
  </si>
  <si>
    <t>EW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</si>
  <si>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</si>
  <si>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</si>
  <si>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</si>
  <si>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</si>
  <si>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</si>
  <si>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</si>
  <si>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</si>
  <si>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5731</t>
  </si>
  <si>
    <t>Start of linear fit &gt;&gt;&gt;&gt;&gt;&gt;&gt;&gt;&gt;&gt;&gt;&gt;&gt;&gt;&gt;&gt;&gt;&gt;&gt;&gt;&gt;</t>
  </si>
  <si>
    <t>IBVS 5296</t>
  </si>
  <si>
    <t>I</t>
  </si>
  <si>
    <t>Add cycle</t>
  </si>
  <si>
    <t>Old Cycle</t>
  </si>
  <si>
    <t>IBVS 5820</t>
  </si>
  <si>
    <t>IBVS 6070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</si>
  <si>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</si>
  <si>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</si>
  <si>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</si>
  <si>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</si>
  <si>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</si>
  <si>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</si>
  <si>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</si>
  <si>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</si>
  <si>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</si>
  <si>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</si>
  <si>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</si>
  <si>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</si>
  <si>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</si>
  <si>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</si>
  <si>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2432768.594 </t>
  </si>
  <si>
    <t> 05.08.1948 02:15 </t>
  </si>
  <si>
    <t> 0.000 </t>
  </si>
  <si>
    <t> Miller &amp; Wachmann </t>
  </si>
  <si>
    <t> RIA 8.374 </t>
  </si>
  <si>
    <t>2433206.461 </t>
  </si>
  <si>
    <t> 16.10.1949 23:03 </t>
  </si>
  <si>
    <t> 0.006 </t>
  </si>
  <si>
    <t>2433477.569 </t>
  </si>
  <si>
    <t> 15.07.1950 01:39 </t>
  </si>
  <si>
    <t> -0.010 </t>
  </si>
  <si>
    <t>2433861.495 </t>
  </si>
  <si>
    <t> 02.08.1951 23:52 </t>
  </si>
  <si>
    <t> -0.000 </t>
  </si>
  <si>
    <t>2434374.317 </t>
  </si>
  <si>
    <t> 27.12.1952 19:36 </t>
  </si>
  <si>
    <t> -0.001 </t>
  </si>
  <si>
    <t>2434697.286 </t>
  </si>
  <si>
    <t> 15.11.1953 18:51 </t>
  </si>
  <si>
    <t> 0.001 </t>
  </si>
  <si>
    <t>2434963.504 </t>
  </si>
  <si>
    <t> 09.08.1954 00:05 </t>
  </si>
  <si>
    <t>2451780.3679 </t>
  </si>
  <si>
    <t> 23.08.2000 20:49 </t>
  </si>
  <si>
    <t> 0.1916 </t>
  </si>
  <si>
    <t>E </t>
  </si>
  <si>
    <t> F.Agerer </t>
  </si>
  <si>
    <t>BAVM 152 </t>
  </si>
  <si>
    <t>2451816.4448 </t>
  </si>
  <si>
    <t> 28.09.2000 22:40 </t>
  </si>
  <si>
    <t> -0.1616 </t>
  </si>
  <si>
    <t>o</t>
  </si>
  <si>
    <t>2451817.4985 </t>
  </si>
  <si>
    <t> 29.09.2000 23:57 </t>
  </si>
  <si>
    <t> 0.1915 </t>
  </si>
  <si>
    <t>2452085.4771 </t>
  </si>
  <si>
    <t> 24.06.2001 23:27 </t>
  </si>
  <si>
    <t> -0.1512 </t>
  </si>
  <si>
    <t>2452113.4995 </t>
  </si>
  <si>
    <t> 22.07.2001 23:59 </t>
  </si>
  <si>
    <t> -0.1519 </t>
  </si>
  <si>
    <t>2452134.5136 </t>
  </si>
  <si>
    <t> 13.08.2001 00:19 </t>
  </si>
  <si>
    <t> -0.1552 </t>
  </si>
  <si>
    <t>2452194.4178 </t>
  </si>
  <si>
    <t> 11.10.2001 22:01 </t>
  </si>
  <si>
    <t> 0.1999 </t>
  </si>
  <si>
    <t>2452218.242 </t>
  </si>
  <si>
    <t> 04.11.2001 17:48 </t>
  </si>
  <si>
    <t> 0.204 </t>
  </si>
  <si>
    <t>?</t>
  </si>
  <si>
    <t> E.Blättler </t>
  </si>
  <si>
    <t> BBS 127 </t>
  </si>
  <si>
    <t>2452228.3955 </t>
  </si>
  <si>
    <t> 14.11.2001 21:29 </t>
  </si>
  <si>
    <t> -0.1507 </t>
  </si>
  <si>
    <t>2452277.434 </t>
  </si>
  <si>
    <t> 02.01.2002 22:24 </t>
  </si>
  <si>
    <t> -0.153 </t>
  </si>
  <si>
    <t>2452505.4797 </t>
  </si>
  <si>
    <t> 18.08.2002 23:30 </t>
  </si>
  <si>
    <t> 0.2052 </t>
  </si>
  <si>
    <t>-I</t>
  </si>
  <si>
    <t>BAVM 158 </t>
  </si>
  <si>
    <t>2452555.573 </t>
  </si>
  <si>
    <t> 08.10.2002 01:45 </t>
  </si>
  <si>
    <t>26684</t>
  </si>
  <si>
    <t> -0.143 </t>
  </si>
  <si>
    <t> S.Dvorak </t>
  </si>
  <si>
    <t>IBVS 5378 </t>
  </si>
  <si>
    <t>2452621.4295 </t>
  </si>
  <si>
    <t> 12.12.2002 22:18 </t>
  </si>
  <si>
    <t>26778</t>
  </si>
  <si>
    <t> -0.1409 </t>
  </si>
  <si>
    <t>2452855.4258 </t>
  </si>
  <si>
    <t> 03.08.2003 22:13 </t>
  </si>
  <si>
    <t>27112</t>
  </si>
  <si>
    <t> -0.1376 </t>
  </si>
  <si>
    <t>BAVM 172 </t>
  </si>
  <si>
    <t>2452875.3891 </t>
  </si>
  <si>
    <t> 23.08.2003 21:20 </t>
  </si>
  <si>
    <t>27140</t>
  </si>
  <si>
    <t> 0.2095 </t>
  </si>
  <si>
    <t>2452878.5499 </t>
  </si>
  <si>
    <t> 27.08.2003 01:11 </t>
  </si>
  <si>
    <t>27145</t>
  </si>
  <si>
    <t> -0.1326 </t>
  </si>
  <si>
    <t>2453166.8349 </t>
  </si>
  <si>
    <t> 10.06.2004 08:02 </t>
  </si>
  <si>
    <t>27556</t>
  </si>
  <si>
    <t> 0.2149 </t>
  </si>
  <si>
    <t> R.Nelson </t>
  </si>
  <si>
    <t>IBVS 5602 </t>
  </si>
  <si>
    <t>2453233.3894 </t>
  </si>
  <si>
    <t> 15.08.2004 21:20 </t>
  </si>
  <si>
    <t>27651</t>
  </si>
  <si>
    <t> 0.2145 </t>
  </si>
  <si>
    <t>BAVM 173 </t>
  </si>
  <si>
    <t>2453242.4943 </t>
  </si>
  <si>
    <t> 24.08.2004 23:51 </t>
  </si>
  <si>
    <t>27664</t>
  </si>
  <si>
    <t> 0.2119 </t>
  </si>
  <si>
    <t>2453250.5535 </t>
  </si>
  <si>
    <t> 02.09.2004 01:17 </t>
  </si>
  <si>
    <t>27676</t>
  </si>
  <si>
    <t> -0.1359 </t>
  </si>
  <si>
    <t>2453256.5101 </t>
  </si>
  <si>
    <t> 08.09.2004 00:14 </t>
  </si>
  <si>
    <t>27684</t>
  </si>
  <si>
    <t> 0.2161 </t>
  </si>
  <si>
    <t>2453653.3969 </t>
  </si>
  <si>
    <t> 09.10.2005 21:31 </t>
  </si>
  <si>
    <t>28251</t>
  </si>
  <si>
    <t> -0.1248 </t>
  </si>
  <si>
    <t>C </t>
  </si>
  <si>
    <t> Agerer </t>
  </si>
  <si>
    <t>BAVM 178 </t>
  </si>
  <si>
    <t>2454403.7319 </t>
  </si>
  <si>
    <t> 30.10.2007 05:33 </t>
  </si>
  <si>
    <t>29322</t>
  </si>
  <si>
    <t> -0.1087 </t>
  </si>
  <si>
    <t>R</t>
  </si>
  <si>
    <t>IBVS 5820 </t>
  </si>
  <si>
    <t>2454738.6121 </t>
  </si>
  <si>
    <t> 29.09.2008 02:41 </t>
  </si>
  <si>
    <t>29800</t>
  </si>
  <si>
    <t> -0.1047 </t>
  </si>
  <si>
    <t>BAVM 203 </t>
  </si>
  <si>
    <t>2454798.5132 </t>
  </si>
  <si>
    <t> 28.11.2008 00:19 </t>
  </si>
  <si>
    <t>29885.5</t>
  </si>
  <si>
    <t> -0.1030 </t>
  </si>
  <si>
    <t>2455050.3793 </t>
  </si>
  <si>
    <t> 06.08.2009 21:06 </t>
  </si>
  <si>
    <t>30245</t>
  </si>
  <si>
    <t> -0.0947 </t>
  </si>
  <si>
    <t>BAVM 212 </t>
  </si>
  <si>
    <t>2455051.4265 </t>
  </si>
  <si>
    <t> 07.08.2009 22:14 </t>
  </si>
  <si>
    <t>30246.5</t>
  </si>
  <si>
    <t> -0.0984 </t>
  </si>
  <si>
    <t> P.Frank </t>
  </si>
  <si>
    <t>2455058.4317 </t>
  </si>
  <si>
    <t> 14.08.2009 22:21 </t>
  </si>
  <si>
    <t>30256.5</t>
  </si>
  <si>
    <t> -0.0989 </t>
  </si>
  <si>
    <t>2455125.3425 </t>
  </si>
  <si>
    <t> 20.10.2009 20:13 </t>
  </si>
  <si>
    <t>30352</t>
  </si>
  <si>
    <t> -0.0933 </t>
  </si>
  <si>
    <t>2455141.4546 </t>
  </si>
  <si>
    <t> 05.11.2009 22:54 </t>
  </si>
  <si>
    <t>30375</t>
  </si>
  <si>
    <t> -0.0945 </t>
  </si>
  <si>
    <t>2455463.3771 </t>
  </si>
  <si>
    <t> 23.09.2010 21:03 </t>
  </si>
  <si>
    <t>30834.5</t>
  </si>
  <si>
    <t> -0.0876 </t>
  </si>
  <si>
    <t>BAVM 215 </t>
  </si>
  <si>
    <t>2455808.4198 </t>
  </si>
  <si>
    <t> 03.09.2011 22:04 </t>
  </si>
  <si>
    <t>31327</t>
  </si>
  <si>
    <t> -0.0795 </t>
  </si>
  <si>
    <t>BAVM 225 </t>
  </si>
  <si>
    <t>2455849.4021 </t>
  </si>
  <si>
    <t> 14.10.2011 21:39 </t>
  </si>
  <si>
    <t>31385.5</t>
  </si>
  <si>
    <t> -0.0810 </t>
  </si>
  <si>
    <t>2455851.5033 </t>
  </si>
  <si>
    <t> 17.10.2011 00:04 </t>
  </si>
  <si>
    <t>31388.5</t>
  </si>
  <si>
    <t> -0.0815 </t>
  </si>
  <si>
    <t>2456167.4722 </t>
  </si>
  <si>
    <t> 27.08.2012 23:19 </t>
  </si>
  <si>
    <t>31839.5</t>
  </si>
  <si>
    <t> -0.0732 </t>
  </si>
  <si>
    <t>BAVM 231 </t>
  </si>
  <si>
    <t>2456568.5624 </t>
  </si>
  <si>
    <t> 03.10.2013 01:29 </t>
  </si>
  <si>
    <t>32412</t>
  </si>
  <si>
    <t> -0.0639 </t>
  </si>
  <si>
    <t>BAVM 234 </t>
  </si>
  <si>
    <t>2456600.439 </t>
  </si>
  <si>
    <t> 03.11.2013 22:32 </t>
  </si>
  <si>
    <t>32457.5</t>
  </si>
  <si>
    <t> -0.064 </t>
  </si>
  <si>
    <t>JAVSO..44..164</t>
  </si>
  <si>
    <t>s5</t>
  </si>
  <si>
    <t>s6</t>
  </si>
  <si>
    <t>s7</t>
  </si>
  <si>
    <t>V0342 Lac / gsc 3618-2162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</si>
</sst>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2" applyNumberFormat="0" applyFont="0" applyFill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16" fillId="3" borderId="0" xfId="0" applyFont="1" applyFill="1" applyAlignment="1"/>
    <xf numFmtId="0" fontId="20" fillId="0" borderId="0" xfId="0" applyFont="1" applyAlignment="1"/>
    <xf numFmtId="0" fontId="22" fillId="0" borderId="0" xfId="8" applyFont="1" applyAlignment="1">
      <alignment horizontal="left"/>
    </xf>
    <xf numFmtId="0" fontId="22" fillId="0" borderId="0" xfId="8" applyFont="1" applyAlignment="1">
      <alignment horizontal="center" wrapText="1"/>
    </xf>
    <xf numFmtId="0" fontId="22" fillId="0" borderId="0" xfId="8" applyFont="1" applyAlignment="1">
      <alignment horizontal="left" wrapText="1"/>
    </xf>
    <xf numFmtId="0" fontId="23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14" fontId="21" fillId="0" borderId="0" xfId="0" applyNumberFormat="1" applyFont="1" applyAlignme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Lac - O-C Diagr.</a:t>
            </a:r>
          </a:p>
        </c:rich>
      </c:tx>
      <c:layout>
        <c:manualLayout>
          <c:xMode val="edge"/>
          <c:yMode val="edge"/>
          <c:x val="0.3285126737798551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4">
                  <c:v>-0.35028895000141347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0-46C4-921C-3F0A89930C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8">
                  <c:v>-0.15873725000710692</c:v>
                </c:pt>
                <c:pt idx="9">
                  <c:v>-0.15873725000710692</c:v>
                </c:pt>
                <c:pt idx="10">
                  <c:v>-0.16159909999987576</c:v>
                </c:pt>
                <c:pt idx="11">
                  <c:v>-0.15876594999281224</c:v>
                </c:pt>
                <c:pt idx="12">
                  <c:v>-0.15121270000236109</c:v>
                </c:pt>
                <c:pt idx="13">
                  <c:v>-0.15192870000464609</c:v>
                </c:pt>
                <c:pt idx="14">
                  <c:v>-0.15516570000181673</c:v>
                </c:pt>
                <c:pt idx="15">
                  <c:v>-0.15037614999891957</c:v>
                </c:pt>
                <c:pt idx="17">
                  <c:v>-0.15070430000196211</c:v>
                </c:pt>
                <c:pt idx="19">
                  <c:v>-0.14506374999473337</c:v>
                </c:pt>
                <c:pt idx="20">
                  <c:v>-0.14308359999995446</c:v>
                </c:pt>
                <c:pt idx="21">
                  <c:v>-0.140906200002064</c:v>
                </c:pt>
                <c:pt idx="22">
                  <c:v>-0.1376248000015039</c:v>
                </c:pt>
                <c:pt idx="23">
                  <c:v>-0.14079494999896269</c:v>
                </c:pt>
                <c:pt idx="24">
                  <c:v>-0.13259549999929732</c:v>
                </c:pt>
                <c:pt idx="26">
                  <c:v>-0.13580185000319034</c:v>
                </c:pt>
                <c:pt idx="27">
                  <c:v>-0.13841454999783309</c:v>
                </c:pt>
                <c:pt idx="28">
                  <c:v>-0.13586039999790955</c:v>
                </c:pt>
                <c:pt idx="29">
                  <c:v>-0.13417254999512807</c:v>
                </c:pt>
                <c:pt idx="30">
                  <c:v>-0.12475290000293171</c:v>
                </c:pt>
                <c:pt idx="31">
                  <c:v>-0.1086838000046555</c:v>
                </c:pt>
                <c:pt idx="39">
                  <c:v>-8.7557549995835871E-2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0-46C4-921C-3F0A89930C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-0.13540134999493603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0-46C4-921C-3F0A89930C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-0.35016495000309078</c:v>
                </c:pt>
                <c:pt idx="1">
                  <c:v>-0.34435244999622228</c:v>
                </c:pt>
                <c:pt idx="2">
                  <c:v>-0.35999974999867845</c:v>
                </c:pt>
                <c:pt idx="3">
                  <c:v>-0.35068894999858458</c:v>
                </c:pt>
                <c:pt idx="5">
                  <c:v>-0.35171174999413779</c:v>
                </c:pt>
                <c:pt idx="6">
                  <c:v>-0.34912364999763668</c:v>
                </c:pt>
                <c:pt idx="7">
                  <c:v>-0.35072565000155009</c:v>
                </c:pt>
                <c:pt idx="16">
                  <c:v>-0.14582474999770056</c:v>
                </c:pt>
                <c:pt idx="18">
                  <c:v>-0.15265729999373434</c:v>
                </c:pt>
                <c:pt idx="32">
                  <c:v>-0.10472000000299886</c:v>
                </c:pt>
                <c:pt idx="33">
                  <c:v>-0.10303045000182465</c:v>
                </c:pt>
                <c:pt idx="34">
                  <c:v>-9.4685500000196043E-2</c:v>
                </c:pt>
                <c:pt idx="35">
                  <c:v>-9.8352349996275734E-2</c:v>
                </c:pt>
                <c:pt idx="36">
                  <c:v>-9.8931350003113039E-2</c:v>
                </c:pt>
                <c:pt idx="37">
                  <c:v>-9.3320799998764414E-2</c:v>
                </c:pt>
                <c:pt idx="38">
                  <c:v>-9.4512499999837019E-2</c:v>
                </c:pt>
                <c:pt idx="40">
                  <c:v>-7.947329999296926E-2</c:v>
                </c:pt>
                <c:pt idx="41">
                  <c:v>-8.0980449994967785E-2</c:v>
                </c:pt>
                <c:pt idx="42">
                  <c:v>-8.1514150006114505E-2</c:v>
                </c:pt>
                <c:pt idx="43">
                  <c:v>-7.3247050000645686E-2</c:v>
                </c:pt>
                <c:pt idx="44">
                  <c:v>-6.3894799997797236E-2</c:v>
                </c:pt>
                <c:pt idx="45">
                  <c:v>-6.3589249999495223E-2</c:v>
                </c:pt>
                <c:pt idx="46">
                  <c:v>-4.9593149997235741E-2</c:v>
                </c:pt>
                <c:pt idx="47">
                  <c:v>-4.8360000000684522E-2</c:v>
                </c:pt>
                <c:pt idx="48">
                  <c:v>-4.8138999998627696E-2</c:v>
                </c:pt>
                <c:pt idx="49">
                  <c:v>-4.728429999522632E-2</c:v>
                </c:pt>
                <c:pt idx="50">
                  <c:v>-4.9884849999216385E-2</c:v>
                </c:pt>
                <c:pt idx="51">
                  <c:v>-4.7251700001652353E-2</c:v>
                </c:pt>
                <c:pt idx="52">
                  <c:v>-4.8630699995555915E-2</c:v>
                </c:pt>
                <c:pt idx="53">
                  <c:v>-3.2476000000315253E-2</c:v>
                </c:pt>
                <c:pt idx="54">
                  <c:v>-3.1258850001904648E-2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0-46C4-921C-3F0A89930C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0-46C4-921C-3F0A89930C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0-46C4-921C-3F0A89930C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0-46C4-921C-3F0A89930C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8">
                  <c:v>-0.16097935248089468</c:v>
                </c:pt>
                <c:pt idx="9">
                  <c:v>-0.16097935248089468</c:v>
                </c:pt>
                <c:pt idx="10">
                  <c:v>-0.16024969318025134</c:v>
                </c:pt>
                <c:pt idx="11">
                  <c:v>-0.16022844096761124</c:v>
                </c:pt>
                <c:pt idx="12">
                  <c:v>-0.15480912674438629</c:v>
                </c:pt>
                <c:pt idx="13">
                  <c:v>-0.15424240107398368</c:v>
                </c:pt>
                <c:pt idx="14">
                  <c:v>-0.15381735682118169</c:v>
                </c:pt>
                <c:pt idx="15">
                  <c:v>-0.15260598070069614</c:v>
                </c:pt>
                <c:pt idx="16">
                  <c:v>-0.15212426388085393</c:v>
                </c:pt>
                <c:pt idx="17">
                  <c:v>-0.151918825825333</c:v>
                </c:pt>
                <c:pt idx="18">
                  <c:v>-0.1509270559021284</c:v>
                </c:pt>
                <c:pt idx="19">
                  <c:v>-0.14631532575922718</c:v>
                </c:pt>
                <c:pt idx="20">
                  <c:v>-0.14530230362338253</c:v>
                </c:pt>
                <c:pt idx="21">
                  <c:v>-0.1439704982979364</c:v>
                </c:pt>
                <c:pt idx="22">
                  <c:v>-0.13923833895007459</c:v>
                </c:pt>
                <c:pt idx="23">
                  <c:v>-0.13883454690991276</c:v>
                </c:pt>
                <c:pt idx="24">
                  <c:v>-0.13877079027199246</c:v>
                </c:pt>
                <c:pt idx="25">
                  <c:v>-0.13294059993772561</c:v>
                </c:pt>
                <c:pt idx="26">
                  <c:v>-0.13159462647051945</c:v>
                </c:pt>
                <c:pt idx="27">
                  <c:v>-0.13141044062763857</c:v>
                </c:pt>
                <c:pt idx="28">
                  <c:v>-0.13124750699739784</c:v>
                </c:pt>
                <c:pt idx="29">
                  <c:v>-0.13112707779243726</c:v>
                </c:pt>
                <c:pt idx="30">
                  <c:v>-0.12310082548536033</c:v>
                </c:pt>
                <c:pt idx="31">
                  <c:v>-0.1079267456603305</c:v>
                </c:pt>
                <c:pt idx="32">
                  <c:v>-0.10115437389901932</c:v>
                </c:pt>
                <c:pt idx="33">
                  <c:v>-9.9942997778533771E-2</c:v>
                </c:pt>
                <c:pt idx="34">
                  <c:v>-9.4849550815790273E-2</c:v>
                </c:pt>
                <c:pt idx="35">
                  <c:v>-9.4828298603150174E-2</c:v>
                </c:pt>
                <c:pt idx="36">
                  <c:v>-9.4686617185549549E-2</c:v>
                </c:pt>
                <c:pt idx="37">
                  <c:v>-9.3333559647463316E-2</c:v>
                </c:pt>
                <c:pt idx="38">
                  <c:v>-9.3007692386981811E-2</c:v>
                </c:pt>
                <c:pt idx="39">
                  <c:v>-8.6497431248231837E-2</c:v>
                </c:pt>
                <c:pt idx="40">
                  <c:v>-7.9519621431399734E-2</c:v>
                </c:pt>
                <c:pt idx="41">
                  <c:v>-7.8690785138435915E-2</c:v>
                </c:pt>
                <c:pt idx="42">
                  <c:v>-7.8648280713155716E-2</c:v>
                </c:pt>
                <c:pt idx="43">
                  <c:v>-7.2258448779366324E-2</c:v>
                </c:pt>
                <c:pt idx="44">
                  <c:v>-6.4147187621728996E-2</c:v>
                </c:pt>
                <c:pt idx="45">
                  <c:v>-6.3502537171646001E-2</c:v>
                </c:pt>
                <c:pt idx="46">
                  <c:v>-5.0170315775424634E-2</c:v>
                </c:pt>
                <c:pt idx="47">
                  <c:v>-5.0149063562784535E-2</c:v>
                </c:pt>
                <c:pt idx="48">
                  <c:v>-5.000738214518391E-2</c:v>
                </c:pt>
                <c:pt idx="49">
                  <c:v>-4.9908205152863427E-2</c:v>
                </c:pt>
                <c:pt idx="50">
                  <c:v>-4.9844448514943129E-2</c:v>
                </c:pt>
                <c:pt idx="51">
                  <c:v>-4.982319630230303E-2</c:v>
                </c:pt>
                <c:pt idx="52">
                  <c:v>-4.9681514884702405E-2</c:v>
                </c:pt>
                <c:pt idx="53">
                  <c:v>-3.5414196132316722E-2</c:v>
                </c:pt>
                <c:pt idx="54">
                  <c:v>-3.482621824927401E-2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0-46C4-921C-3F0A89930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591856"/>
        <c:axId val="1"/>
      </c:scatterChart>
      <c:valAx>
        <c:axId val="68959185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667860692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6373766386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591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93357141036983E-2"/>
          <c:y val="0.92000129214617399"/>
          <c:w val="0.9669431126934374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Lac - O-C Diagr.</a:t>
            </a:r>
          </a:p>
        </c:rich>
      </c:tx>
      <c:layout>
        <c:manualLayout>
          <c:xMode val="edge"/>
          <c:yMode val="edge"/>
          <c:x val="0.328512830524283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68"/>
          <c:y val="0.14769252958613224"/>
          <c:w val="0.76239746335617065"/>
          <c:h val="0.62769325074106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4">
                  <c:v>-0.35028895000141347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E-47AD-A8B7-54CC7A6F0A0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8">
                  <c:v>-0.15873725000710692</c:v>
                </c:pt>
                <c:pt idx="9">
                  <c:v>-0.15873725000710692</c:v>
                </c:pt>
                <c:pt idx="10">
                  <c:v>-0.16159909999987576</c:v>
                </c:pt>
                <c:pt idx="11">
                  <c:v>-0.15876594999281224</c:v>
                </c:pt>
                <c:pt idx="12">
                  <c:v>-0.15121270000236109</c:v>
                </c:pt>
                <c:pt idx="13">
                  <c:v>-0.15192870000464609</c:v>
                </c:pt>
                <c:pt idx="14">
                  <c:v>-0.15516570000181673</c:v>
                </c:pt>
                <c:pt idx="15">
                  <c:v>-0.15037614999891957</c:v>
                </c:pt>
                <c:pt idx="17">
                  <c:v>-0.15070430000196211</c:v>
                </c:pt>
                <c:pt idx="19">
                  <c:v>-0.14506374999473337</c:v>
                </c:pt>
                <c:pt idx="20">
                  <c:v>-0.14308359999995446</c:v>
                </c:pt>
                <c:pt idx="21">
                  <c:v>-0.140906200002064</c:v>
                </c:pt>
                <c:pt idx="22">
                  <c:v>-0.1376248000015039</c:v>
                </c:pt>
                <c:pt idx="23">
                  <c:v>-0.14079494999896269</c:v>
                </c:pt>
                <c:pt idx="24">
                  <c:v>-0.13259549999929732</c:v>
                </c:pt>
                <c:pt idx="26">
                  <c:v>-0.13580185000319034</c:v>
                </c:pt>
                <c:pt idx="27">
                  <c:v>-0.13841454999783309</c:v>
                </c:pt>
                <c:pt idx="28">
                  <c:v>-0.13586039999790955</c:v>
                </c:pt>
                <c:pt idx="29">
                  <c:v>-0.13417254999512807</c:v>
                </c:pt>
                <c:pt idx="30">
                  <c:v>-0.12475290000293171</c:v>
                </c:pt>
                <c:pt idx="31">
                  <c:v>-0.1086838000046555</c:v>
                </c:pt>
                <c:pt idx="39">
                  <c:v>-8.7557549995835871E-2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8E-47AD-A8B7-54CC7A6F0A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-0.13540134999493603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8E-47AD-A8B7-54CC7A6F0A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-0.35016495000309078</c:v>
                </c:pt>
                <c:pt idx="1">
                  <c:v>-0.34435244999622228</c:v>
                </c:pt>
                <c:pt idx="2">
                  <c:v>-0.35999974999867845</c:v>
                </c:pt>
                <c:pt idx="3">
                  <c:v>-0.35068894999858458</c:v>
                </c:pt>
                <c:pt idx="5">
                  <c:v>-0.35171174999413779</c:v>
                </c:pt>
                <c:pt idx="6">
                  <c:v>-0.34912364999763668</c:v>
                </c:pt>
                <c:pt idx="7">
                  <c:v>-0.35072565000155009</c:v>
                </c:pt>
                <c:pt idx="16">
                  <c:v>-0.14582474999770056</c:v>
                </c:pt>
                <c:pt idx="18">
                  <c:v>-0.15265729999373434</c:v>
                </c:pt>
                <c:pt idx="32">
                  <c:v>-0.10472000000299886</c:v>
                </c:pt>
                <c:pt idx="33">
                  <c:v>-0.10303045000182465</c:v>
                </c:pt>
                <c:pt idx="34">
                  <c:v>-9.4685500000196043E-2</c:v>
                </c:pt>
                <c:pt idx="35">
                  <c:v>-9.8352349996275734E-2</c:v>
                </c:pt>
                <c:pt idx="36">
                  <c:v>-9.8931350003113039E-2</c:v>
                </c:pt>
                <c:pt idx="37">
                  <c:v>-9.3320799998764414E-2</c:v>
                </c:pt>
                <c:pt idx="38">
                  <c:v>-9.4512499999837019E-2</c:v>
                </c:pt>
                <c:pt idx="40">
                  <c:v>-7.947329999296926E-2</c:v>
                </c:pt>
                <c:pt idx="41">
                  <c:v>-8.0980449994967785E-2</c:v>
                </c:pt>
                <c:pt idx="42">
                  <c:v>-8.1514150006114505E-2</c:v>
                </c:pt>
                <c:pt idx="43">
                  <c:v>-7.3247050000645686E-2</c:v>
                </c:pt>
                <c:pt idx="44">
                  <c:v>-6.3894799997797236E-2</c:v>
                </c:pt>
                <c:pt idx="45">
                  <c:v>-6.3589249999495223E-2</c:v>
                </c:pt>
                <c:pt idx="46">
                  <c:v>-4.9593149997235741E-2</c:v>
                </c:pt>
                <c:pt idx="47">
                  <c:v>-4.8360000000684522E-2</c:v>
                </c:pt>
                <c:pt idx="48">
                  <c:v>-4.8138999998627696E-2</c:v>
                </c:pt>
                <c:pt idx="49">
                  <c:v>-4.728429999522632E-2</c:v>
                </c:pt>
                <c:pt idx="50">
                  <c:v>-4.9884849999216385E-2</c:v>
                </c:pt>
                <c:pt idx="51">
                  <c:v>-4.7251700001652353E-2</c:v>
                </c:pt>
                <c:pt idx="52">
                  <c:v>-4.8630699995555915E-2</c:v>
                </c:pt>
                <c:pt idx="53">
                  <c:v>-3.2476000000315253E-2</c:v>
                </c:pt>
                <c:pt idx="54">
                  <c:v>-3.1258850001904648E-2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8E-47AD-A8B7-54CC7A6F0A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8E-47AD-A8B7-54CC7A6F0A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8E-47AD-A8B7-54CC7A6F0A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4">
                    <c:v>0</c:v>
                  </c:pt>
                  <c:pt idx="8">
                    <c:v>1.6999999999999999E-3</c:v>
                  </c:pt>
                  <c:pt idx="9">
                    <c:v>1.6999999999999999E-3</c:v>
                  </c:pt>
                  <c:pt idx="10">
                    <c:v>2.5999999999999999E-3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1.5E-3</c:v>
                  </c:pt>
                  <c:pt idx="14">
                    <c:v>1.1000000000000001E-3</c:v>
                  </c:pt>
                  <c:pt idx="15">
                    <c:v>1.8E-3</c:v>
                  </c:pt>
                  <c:pt idx="17">
                    <c:v>1.5E-3</c:v>
                  </c:pt>
                  <c:pt idx="19">
                    <c:v>1.8E-3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1.9E-3</c:v>
                  </c:pt>
                  <c:pt idx="27">
                    <c:v>2.3999999999999998E-3</c:v>
                  </c:pt>
                  <c:pt idx="28">
                    <c:v>2.3E-3</c:v>
                  </c:pt>
                  <c:pt idx="29">
                    <c:v>2.5999999999999999E-3</c:v>
                  </c:pt>
                  <c:pt idx="30">
                    <c:v>3.0000000000000001E-3</c:v>
                  </c:pt>
                  <c:pt idx="31">
                    <c:v>2.0000000000000001E-4</c:v>
                  </c:pt>
                  <c:pt idx="39">
                    <c:v>2.3999999999999998E-3</c:v>
                  </c:pt>
                  <c:pt idx="43">
                    <c:v>3.8E-3</c:v>
                  </c:pt>
                  <c:pt idx="44">
                    <c:v>3.0000000000000001E-3</c:v>
                  </c:pt>
                  <c:pt idx="45">
                    <c:v>4.4999999999999997E-3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2.0999999999999999E-3</c:v>
                  </c:pt>
                  <c:pt idx="5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8E-47AD-A8B7-54CC7A6F0A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-1559.5</c:v>
                </c:pt>
                <c:pt idx="1">
                  <c:v>-934.5</c:v>
                </c:pt>
                <c:pt idx="2">
                  <c:v>-547.5</c:v>
                </c:pt>
                <c:pt idx="3">
                  <c:v>0.5</c:v>
                </c:pt>
                <c:pt idx="4">
                  <c:v>0.5</c:v>
                </c:pt>
                <c:pt idx="5">
                  <c:v>732.5</c:v>
                </c:pt>
                <c:pt idx="6">
                  <c:v>1193.5</c:v>
                </c:pt>
                <c:pt idx="7">
                  <c:v>1573.5</c:v>
                </c:pt>
                <c:pt idx="8">
                  <c:v>25577.5</c:v>
                </c:pt>
                <c:pt idx="9">
                  <c:v>25577.5</c:v>
                </c:pt>
                <c:pt idx="10">
                  <c:v>25629</c:v>
                </c:pt>
                <c:pt idx="11">
                  <c:v>25630.5</c:v>
                </c:pt>
                <c:pt idx="12">
                  <c:v>26013</c:v>
                </c:pt>
                <c:pt idx="13">
                  <c:v>26053</c:v>
                </c:pt>
                <c:pt idx="14">
                  <c:v>26083</c:v>
                </c:pt>
                <c:pt idx="15">
                  <c:v>26168.5</c:v>
                </c:pt>
                <c:pt idx="16">
                  <c:v>26202.5</c:v>
                </c:pt>
                <c:pt idx="17">
                  <c:v>26217</c:v>
                </c:pt>
                <c:pt idx="18">
                  <c:v>26287</c:v>
                </c:pt>
                <c:pt idx="19">
                  <c:v>26612.5</c:v>
                </c:pt>
                <c:pt idx="20">
                  <c:v>26684</c:v>
                </c:pt>
                <c:pt idx="21">
                  <c:v>26778</c:v>
                </c:pt>
                <c:pt idx="22">
                  <c:v>27112</c:v>
                </c:pt>
                <c:pt idx="23">
                  <c:v>27140.5</c:v>
                </c:pt>
                <c:pt idx="24">
                  <c:v>27145</c:v>
                </c:pt>
                <c:pt idx="25">
                  <c:v>27556.5</c:v>
                </c:pt>
                <c:pt idx="26">
                  <c:v>27651.5</c:v>
                </c:pt>
                <c:pt idx="27">
                  <c:v>27664.5</c:v>
                </c:pt>
                <c:pt idx="28">
                  <c:v>27676</c:v>
                </c:pt>
                <c:pt idx="29">
                  <c:v>27684.5</c:v>
                </c:pt>
                <c:pt idx="30">
                  <c:v>28251</c:v>
                </c:pt>
                <c:pt idx="31">
                  <c:v>29322</c:v>
                </c:pt>
                <c:pt idx="32">
                  <c:v>29800</c:v>
                </c:pt>
                <c:pt idx="33">
                  <c:v>29885.5</c:v>
                </c:pt>
                <c:pt idx="34">
                  <c:v>30245</c:v>
                </c:pt>
                <c:pt idx="35">
                  <c:v>30246.5</c:v>
                </c:pt>
                <c:pt idx="36">
                  <c:v>30256.5</c:v>
                </c:pt>
                <c:pt idx="37">
                  <c:v>30352</c:v>
                </c:pt>
                <c:pt idx="38">
                  <c:v>30375</c:v>
                </c:pt>
                <c:pt idx="39">
                  <c:v>30834.5</c:v>
                </c:pt>
                <c:pt idx="40">
                  <c:v>31327</c:v>
                </c:pt>
                <c:pt idx="41">
                  <c:v>31385.5</c:v>
                </c:pt>
                <c:pt idx="42">
                  <c:v>31388.5</c:v>
                </c:pt>
                <c:pt idx="43">
                  <c:v>31839.5</c:v>
                </c:pt>
                <c:pt idx="44">
                  <c:v>32412</c:v>
                </c:pt>
                <c:pt idx="45">
                  <c:v>32457.5</c:v>
                </c:pt>
                <c:pt idx="46">
                  <c:v>33398.5</c:v>
                </c:pt>
                <c:pt idx="47">
                  <c:v>33400</c:v>
                </c:pt>
                <c:pt idx="48">
                  <c:v>33410</c:v>
                </c:pt>
                <c:pt idx="49">
                  <c:v>33417</c:v>
                </c:pt>
                <c:pt idx="50">
                  <c:v>33421.5</c:v>
                </c:pt>
                <c:pt idx="51">
                  <c:v>33423</c:v>
                </c:pt>
                <c:pt idx="52">
                  <c:v>33433</c:v>
                </c:pt>
                <c:pt idx="53">
                  <c:v>34440</c:v>
                </c:pt>
                <c:pt idx="54">
                  <c:v>34481.5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8">
                  <c:v>-0.16097935248089468</c:v>
                </c:pt>
                <c:pt idx="9">
                  <c:v>-0.16097935248089468</c:v>
                </c:pt>
                <c:pt idx="10">
                  <c:v>-0.16024969318025134</c:v>
                </c:pt>
                <c:pt idx="11">
                  <c:v>-0.16022844096761124</c:v>
                </c:pt>
                <c:pt idx="12">
                  <c:v>-0.15480912674438629</c:v>
                </c:pt>
                <c:pt idx="13">
                  <c:v>-0.15424240107398368</c:v>
                </c:pt>
                <c:pt idx="14">
                  <c:v>-0.15381735682118169</c:v>
                </c:pt>
                <c:pt idx="15">
                  <c:v>-0.15260598070069614</c:v>
                </c:pt>
                <c:pt idx="16">
                  <c:v>-0.15212426388085393</c:v>
                </c:pt>
                <c:pt idx="17">
                  <c:v>-0.151918825825333</c:v>
                </c:pt>
                <c:pt idx="18">
                  <c:v>-0.1509270559021284</c:v>
                </c:pt>
                <c:pt idx="19">
                  <c:v>-0.14631532575922718</c:v>
                </c:pt>
                <c:pt idx="20">
                  <c:v>-0.14530230362338253</c:v>
                </c:pt>
                <c:pt idx="21">
                  <c:v>-0.1439704982979364</c:v>
                </c:pt>
                <c:pt idx="22">
                  <c:v>-0.13923833895007459</c:v>
                </c:pt>
                <c:pt idx="23">
                  <c:v>-0.13883454690991276</c:v>
                </c:pt>
                <c:pt idx="24">
                  <c:v>-0.13877079027199246</c:v>
                </c:pt>
                <c:pt idx="25">
                  <c:v>-0.13294059993772561</c:v>
                </c:pt>
                <c:pt idx="26">
                  <c:v>-0.13159462647051945</c:v>
                </c:pt>
                <c:pt idx="27">
                  <c:v>-0.13141044062763857</c:v>
                </c:pt>
                <c:pt idx="28">
                  <c:v>-0.13124750699739784</c:v>
                </c:pt>
                <c:pt idx="29">
                  <c:v>-0.13112707779243726</c:v>
                </c:pt>
                <c:pt idx="30">
                  <c:v>-0.12310082548536033</c:v>
                </c:pt>
                <c:pt idx="31">
                  <c:v>-0.1079267456603305</c:v>
                </c:pt>
                <c:pt idx="32">
                  <c:v>-0.10115437389901932</c:v>
                </c:pt>
                <c:pt idx="33">
                  <c:v>-9.9942997778533771E-2</c:v>
                </c:pt>
                <c:pt idx="34">
                  <c:v>-9.4849550815790273E-2</c:v>
                </c:pt>
                <c:pt idx="35">
                  <c:v>-9.4828298603150174E-2</c:v>
                </c:pt>
                <c:pt idx="36">
                  <c:v>-9.4686617185549549E-2</c:v>
                </c:pt>
                <c:pt idx="37">
                  <c:v>-9.3333559647463316E-2</c:v>
                </c:pt>
                <c:pt idx="38">
                  <c:v>-9.3007692386981811E-2</c:v>
                </c:pt>
                <c:pt idx="39">
                  <c:v>-8.6497431248231837E-2</c:v>
                </c:pt>
                <c:pt idx="40">
                  <c:v>-7.9519621431399734E-2</c:v>
                </c:pt>
                <c:pt idx="41">
                  <c:v>-7.8690785138435915E-2</c:v>
                </c:pt>
                <c:pt idx="42">
                  <c:v>-7.8648280713155716E-2</c:v>
                </c:pt>
                <c:pt idx="43">
                  <c:v>-7.2258448779366324E-2</c:v>
                </c:pt>
                <c:pt idx="44">
                  <c:v>-6.4147187621728996E-2</c:v>
                </c:pt>
                <c:pt idx="45">
                  <c:v>-6.3502537171646001E-2</c:v>
                </c:pt>
                <c:pt idx="46">
                  <c:v>-5.0170315775424634E-2</c:v>
                </c:pt>
                <c:pt idx="47">
                  <c:v>-5.0149063562784535E-2</c:v>
                </c:pt>
                <c:pt idx="48">
                  <c:v>-5.000738214518391E-2</c:v>
                </c:pt>
                <c:pt idx="49">
                  <c:v>-4.9908205152863427E-2</c:v>
                </c:pt>
                <c:pt idx="50">
                  <c:v>-4.9844448514943129E-2</c:v>
                </c:pt>
                <c:pt idx="51">
                  <c:v>-4.982319630230303E-2</c:v>
                </c:pt>
                <c:pt idx="52">
                  <c:v>-4.9681514884702405E-2</c:v>
                </c:pt>
                <c:pt idx="53">
                  <c:v>-3.5414196132316722E-2</c:v>
                </c:pt>
                <c:pt idx="54">
                  <c:v>-3.482621824927401E-2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8E-47AD-A8B7-54CC7A6F0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226280"/>
        <c:axId val="1"/>
      </c:scatterChart>
      <c:valAx>
        <c:axId val="83522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226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93388429752067E-2"/>
          <c:y val="0.92000129214617399"/>
          <c:w val="0.9669430164204680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Lac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A-43B3-A131-0304BE39F74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-0.14506374999473337</c:v>
                </c:pt>
                <c:pt idx="2">
                  <c:v>-0.140906200002064</c:v>
                </c:pt>
                <c:pt idx="3">
                  <c:v>-0.14308359999995446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A-43B3-A131-0304BE39F74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A-43B3-A131-0304BE39F74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CA-43B3-A131-0304BE39F74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CA-43B3-A131-0304BE39F74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CA-43B3-A131-0304BE39F74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CA-43B3-A131-0304BE39F74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-1.5682864947380581E-5</c:v>
                </c:pt>
                <c:pt idx="1">
                  <c:v>-0.14258938808090138</c:v>
                </c:pt>
                <c:pt idx="2">
                  <c:v>-0.14347603714480897</c:v>
                </c:pt>
                <c:pt idx="3">
                  <c:v>-0.14297244190609409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CA-43B3-A131-0304BE39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204472"/>
        <c:axId val="1"/>
      </c:scatterChart>
      <c:valAx>
        <c:axId val="749204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204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115702479338845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Lac - O-C Diagr.</a:t>
            </a:r>
          </a:p>
        </c:rich>
      </c:tx>
      <c:layout>
        <c:manualLayout>
          <c:xMode val="edge"/>
          <c:yMode val="edge"/>
          <c:x val="0.32989690721649484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953316519776211"/>
          <c:w val="0.7505154639175257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2-4D3D-8F91-99FDC0B00C5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-0.14506374999473337</c:v>
                </c:pt>
                <c:pt idx="2">
                  <c:v>-0.140906200002064</c:v>
                </c:pt>
                <c:pt idx="3">
                  <c:v>-0.14308359999995446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2-4D3D-8F91-99FDC0B00C5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2-4D3D-8F91-99FDC0B00C5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2-4D3D-8F91-99FDC0B00C5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2-4D3D-8F91-99FDC0B00C5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2-4D3D-8F91-99FDC0B00C5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2-4D3D-8F91-99FDC0B00C5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-1.5682864947380581E-5</c:v>
                </c:pt>
                <c:pt idx="1">
                  <c:v>-0.14258938808090138</c:v>
                </c:pt>
                <c:pt idx="2">
                  <c:v>-0.14347603714480897</c:v>
                </c:pt>
                <c:pt idx="3">
                  <c:v>-0.14297244190609409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2-4D3D-8F91-99FDC0B00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796328"/>
        <c:axId val="1"/>
      </c:scatterChart>
      <c:valAx>
        <c:axId val="83779632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200"/>
      </c:valAx>
      <c:valAx>
        <c:axId val="1"/>
        <c:scaling>
          <c:orientation val="minMax"/>
          <c:max val="-0.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796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8041237113402056E-2"/>
          <c:y val="0.9190031152647975"/>
          <c:w val="0.9917525773195876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Lac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-0.35028895000141347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A-4CAE-AE85-6A303D9FB5C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-0.14506374999473337</c:v>
                </c:pt>
                <c:pt idx="2">
                  <c:v>-0.140906200002064</c:v>
                </c:pt>
                <c:pt idx="3">
                  <c:v>-0.14308359999995446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A-4CAE-AE85-6A303D9FB5C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8A-4CAE-AE85-6A303D9FB5C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8A-4CAE-AE85-6A303D9FB5C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8A-4CAE-AE85-6A303D9FB5C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8A-4CAE-AE85-6A303D9FB5C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8A-4CAE-AE85-6A303D9FB5C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-0.35029785806052632</c:v>
                </c:pt>
                <c:pt idx="1">
                  <c:v>-0.1436283966331322</c:v>
                </c:pt>
                <c:pt idx="2">
                  <c:v>-0.14234311946996395</c:v>
                </c:pt>
                <c:pt idx="3">
                  <c:v>-0.1430731258345429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8A-4CAE-AE85-6A303D9F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76088"/>
        <c:axId val="1"/>
      </c:scatterChart>
      <c:valAx>
        <c:axId val="69307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076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115702479338845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Lac - O-C Diagr.</a:t>
            </a:r>
          </a:p>
        </c:rich>
      </c:tx>
      <c:layout>
        <c:manualLayout>
          <c:xMode val="edge"/>
          <c:yMode val="edge"/>
          <c:x val="0.32989690721649484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953316519776211"/>
          <c:w val="0.7505154639175257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-0.35028895000141347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E-4716-BA18-95A3E6A015B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-0.14506374999473337</c:v>
                </c:pt>
                <c:pt idx="2">
                  <c:v>-0.140906200002064</c:v>
                </c:pt>
                <c:pt idx="3">
                  <c:v>-0.14308359999995446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E-4716-BA18-95A3E6A015B9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8E-4716-BA18-95A3E6A015B9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8E-4716-BA18-95A3E6A015B9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8E-4716-BA18-95A3E6A015B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8E-4716-BA18-95A3E6A015B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1.8E-3</c:v>
                  </c:pt>
                  <c:pt idx="2">
                    <c:v>4.0000000000000001E-3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8E-4716-BA18-95A3E6A015B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0.5</c:v>
                </c:pt>
                <c:pt idx="1">
                  <c:v>26612.5</c:v>
                </c:pt>
                <c:pt idx="2">
                  <c:v>26778</c:v>
                </c:pt>
                <c:pt idx="3">
                  <c:v>26684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-0.35029785806052632</c:v>
                </c:pt>
                <c:pt idx="1">
                  <c:v>-0.1436283966331322</c:v>
                </c:pt>
                <c:pt idx="2">
                  <c:v>-0.14234311946996395</c:v>
                </c:pt>
                <c:pt idx="3">
                  <c:v>-0.1430731258345429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8E-4716-BA18-95A3E6A01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75008"/>
        <c:axId val="1"/>
      </c:scatterChart>
      <c:valAx>
        <c:axId val="693075008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  <c:minorUnit val="100"/>
      </c:valAx>
      <c:valAx>
        <c:axId val="1"/>
        <c:scaling>
          <c:orientation val="minMax"/>
          <c:max val="-0.13"/>
          <c:min val="-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075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8041237113402056E-2"/>
          <c:y val="0.91900605882208652"/>
          <c:w val="0.9917525773195876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9525</xdr:rowOff>
    </xdr:from>
    <xdr:to>
      <xdr:col>17</xdr:col>
      <xdr:colOff>590550</xdr:colOff>
      <xdr:row>18</xdr:row>
      <xdr:rowOff>28575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A9CA6F31-8085-0D01-6014-418B0EB24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19051</xdr:rowOff>
    </xdr:from>
    <xdr:to>
      <xdr:col>27</xdr:col>
      <xdr:colOff>104775</xdr:colOff>
      <xdr:row>18</xdr:row>
      <xdr:rowOff>9526</xdr:rowOff>
    </xdr:to>
    <xdr:graphicFrame macro="">
      <xdr:nvGraphicFramePr>
        <xdr:cNvPr id="52232" name="Chart 1">
          <a:extLst>
            <a:ext uri="{FF2B5EF4-FFF2-40B4-BE49-F238E27FC236}">
              <a16:creationId xmlns:a16="http://schemas.microsoft.com/office/drawing/2014/main" id="{09709FF6-D6FA-8B71-6BB9-548B683D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0</xdr:row>
      <xdr:rowOff>38100</xdr:rowOff>
    </xdr:from>
    <xdr:to>
      <xdr:col>20</xdr:col>
      <xdr:colOff>66675</xdr:colOff>
      <xdr:row>18</xdr:row>
      <xdr:rowOff>57150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810FD443-C080-ACD4-AB82-E38204C77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12</xdr:col>
      <xdr:colOff>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1637817-5E94-2842-AE7C-774061B23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0</xdr:row>
      <xdr:rowOff>38100</xdr:rowOff>
    </xdr:from>
    <xdr:to>
      <xdr:col>20</xdr:col>
      <xdr:colOff>66675</xdr:colOff>
      <xdr:row>18</xdr:row>
      <xdr:rowOff>57150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58B28131-7F4E-93A2-1E51-BC965866D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12</xdr:col>
      <xdr:colOff>0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4736B478-D107-4AE7-100C-620CCE0AC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212" TargetMode="External"/><Relationship Id="rId3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bav-astro.de/sfs/BAVM_link.php?BAVMnr=212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602" TargetMode="External"/><Relationship Id="rId23" Type="http://schemas.openxmlformats.org/officeDocument/2006/relationships/hyperlink" Target="http://www.bav-astro.de/sfs/BAVM_link.php?BAVMnr=203" TargetMode="External"/><Relationship Id="rId28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93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2" t="s">
        <v>260</v>
      </c>
    </row>
    <row r="2" spans="1:6" x14ac:dyDescent="0.2">
      <c r="A2" t="s">
        <v>28</v>
      </c>
      <c r="B2" s="16" t="s">
        <v>40</v>
      </c>
    </row>
    <row r="4" spans="1:6" ht="14.25" thickTop="1" thickBot="1" x14ac:dyDescent="0.25">
      <c r="A4" s="8" t="s">
        <v>1</v>
      </c>
      <c r="C4" s="3">
        <v>33861.4954</v>
      </c>
      <c r="D4" s="4">
        <v>0.70057789999999998</v>
      </c>
    </row>
    <row r="5" spans="1:6" ht="13.5" thickTop="1" x14ac:dyDescent="0.2">
      <c r="A5" s="18" t="s">
        <v>42</v>
      </c>
      <c r="B5" s="19"/>
      <c r="C5" s="20">
        <v>-9.5</v>
      </c>
      <c r="D5" s="19" t="s">
        <v>43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33861.4954</v>
      </c>
    </row>
    <row r="8" spans="1:6" x14ac:dyDescent="0.2">
      <c r="A8" t="s">
        <v>4</v>
      </c>
      <c r="C8">
        <f>+D4</f>
        <v>0.70057789999999998</v>
      </c>
    </row>
    <row r="9" spans="1:6" x14ac:dyDescent="0.2">
      <c r="A9" s="35" t="s">
        <v>49</v>
      </c>
      <c r="B9" s="36">
        <v>29</v>
      </c>
      <c r="C9" s="34" t="str">
        <f>"F"&amp;B9</f>
        <v>F29</v>
      </c>
      <c r="D9" s="14" t="str">
        <f>"G"&amp;B9</f>
        <v>G29</v>
      </c>
    </row>
    <row r="10" spans="1:6" ht="13.5" thickBot="1" x14ac:dyDescent="0.25">
      <c r="A10" s="19"/>
      <c r="B10" s="19"/>
      <c r="C10" s="7" t="s">
        <v>23</v>
      </c>
      <c r="D10" s="7" t="s">
        <v>24</v>
      </c>
      <c r="E10" s="19"/>
    </row>
    <row r="11" spans="1:6" x14ac:dyDescent="0.2">
      <c r="A11" s="19" t="s">
        <v>17</v>
      </c>
      <c r="B11" s="19"/>
      <c r="C11" s="33">
        <f ca="1">INTERCEPT(INDIRECT($D$9):G992,INDIRECT($C$9):F992)</f>
        <v>-0.52336499834896266</v>
      </c>
      <c r="D11" s="6"/>
      <c r="E11" s="19"/>
    </row>
    <row r="12" spans="1:6" x14ac:dyDescent="0.2">
      <c r="A12" s="19" t="s">
        <v>18</v>
      </c>
      <c r="B12" s="19"/>
      <c r="C12" s="33">
        <f ca="1">SLOPE(INDIRECT($D$9):G992,INDIRECT($C$9):F992)</f>
        <v>1.4168141760065213E-5</v>
      </c>
      <c r="D12" s="6"/>
      <c r="E12" s="19"/>
    </row>
    <row r="13" spans="1:6" x14ac:dyDescent="0.2">
      <c r="A13" s="19" t="s">
        <v>22</v>
      </c>
      <c r="B13" s="19"/>
      <c r="C13" s="6" t="s">
        <v>15</v>
      </c>
    </row>
    <row r="14" spans="1:6" x14ac:dyDescent="0.2">
      <c r="A14" s="19"/>
      <c r="B14" s="19"/>
      <c r="C14" s="19"/>
    </row>
    <row r="15" spans="1:6" x14ac:dyDescent="0.2">
      <c r="A15" s="21" t="s">
        <v>19</v>
      </c>
      <c r="B15" s="19"/>
      <c r="C15" s="22">
        <f ca="1">(C7+C11)+(C8+C12)*INT(MAX(F21:F3533))</f>
        <v>58018.087136597678</v>
      </c>
      <c r="E15" s="23" t="s">
        <v>52</v>
      </c>
      <c r="F15" s="20">
        <v>1</v>
      </c>
    </row>
    <row r="16" spans="1:6" x14ac:dyDescent="0.2">
      <c r="A16" s="25" t="s">
        <v>5</v>
      </c>
      <c r="B16" s="19"/>
      <c r="C16" s="26">
        <f ca="1">+C8+C12</f>
        <v>0.70059206814176</v>
      </c>
      <c r="E16" s="23" t="s">
        <v>44</v>
      </c>
      <c r="F16" s="24">
        <f ca="1">NOW()+15018.5+$C$5/24</f>
        <v>60357.691437152775</v>
      </c>
    </row>
    <row r="17" spans="1:17" ht="13.5" thickBot="1" x14ac:dyDescent="0.25">
      <c r="A17" s="23" t="s">
        <v>46</v>
      </c>
      <c r="B17" s="19"/>
      <c r="C17" s="19">
        <f>COUNT(C21:C2191)</f>
        <v>55</v>
      </c>
      <c r="E17" s="23" t="s">
        <v>53</v>
      </c>
      <c r="F17" s="24">
        <f ca="1">ROUND(2*(F16-$C$7)/$C$8,0)/2+F15</f>
        <v>37821.5</v>
      </c>
    </row>
    <row r="18" spans="1:17" ht="14.25" thickTop="1" thickBot="1" x14ac:dyDescent="0.25">
      <c r="A18" s="25" t="s">
        <v>6</v>
      </c>
      <c r="B18" s="19"/>
      <c r="C18" s="28">
        <f ca="1">+C15</f>
        <v>58018.087136597678</v>
      </c>
      <c r="D18" s="29">
        <f ca="1">+C16</f>
        <v>0.70059206814176</v>
      </c>
      <c r="E18" s="23" t="s">
        <v>45</v>
      </c>
      <c r="F18" s="14">
        <f ca="1">ROUND(2*(F16-$C$15)/$C$16,0)/2+F15</f>
        <v>3340.5</v>
      </c>
    </row>
    <row r="19" spans="1:17" ht="13.5" thickTop="1" x14ac:dyDescent="0.2">
      <c r="E19" s="23" t="s">
        <v>47</v>
      </c>
      <c r="F19" s="27">
        <f ca="1">+$C$15+$C$16*F18-15018.5-$C$5/24</f>
        <v>45340.310773558565</v>
      </c>
    </row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65</v>
      </c>
      <c r="I20" s="10" t="s">
        <v>68</v>
      </c>
      <c r="J20" s="10" t="s">
        <v>62</v>
      </c>
      <c r="K20" s="10" t="s">
        <v>60</v>
      </c>
      <c r="L20" s="10" t="s">
        <v>257</v>
      </c>
      <c r="M20" s="10" t="s">
        <v>258</v>
      </c>
      <c r="N20" s="10" t="s">
        <v>259</v>
      </c>
      <c r="O20" s="10" t="s">
        <v>26</v>
      </c>
      <c r="P20" s="9" t="s">
        <v>25</v>
      </c>
      <c r="Q20" s="7" t="s">
        <v>16</v>
      </c>
    </row>
    <row r="21" spans="1:17" x14ac:dyDescent="0.2">
      <c r="A21" s="60" t="s">
        <v>74</v>
      </c>
      <c r="B21" s="61" t="s">
        <v>51</v>
      </c>
      <c r="C21" s="62">
        <v>32768.593999999997</v>
      </c>
      <c r="D21" s="17"/>
      <c r="E21" s="38">
        <f t="shared" ref="E21:E66" si="0">+(C21-C$7)/C$8</f>
        <v>-1559.99982300327</v>
      </c>
      <c r="F21" s="67">
        <f t="shared" ref="F21:F28" si="1">ROUND(2*E21,0)/2+0.5</f>
        <v>-1559.5</v>
      </c>
      <c r="G21">
        <f t="shared" ref="G21:G66" si="2">+C21-(C$7+F21*C$8)</f>
        <v>-0.35016495000309078</v>
      </c>
      <c r="K21" s="6">
        <f>G21</f>
        <v>-0.35016495000309078</v>
      </c>
      <c r="Q21" s="2">
        <f t="shared" ref="Q21:Q66" si="3">+C21-15018.5</f>
        <v>17750.093999999997</v>
      </c>
    </row>
    <row r="22" spans="1:17" x14ac:dyDescent="0.2">
      <c r="A22" s="60" t="s">
        <v>74</v>
      </c>
      <c r="B22" s="61" t="s">
        <v>51</v>
      </c>
      <c r="C22" s="62">
        <v>33206.461000000003</v>
      </c>
      <c r="D22" s="17"/>
      <c r="E22" s="38">
        <f t="shared" si="0"/>
        <v>-934.99152628136983</v>
      </c>
      <c r="F22" s="67">
        <f t="shared" si="1"/>
        <v>-934.5</v>
      </c>
      <c r="G22">
        <f t="shared" si="2"/>
        <v>-0.34435244999622228</v>
      </c>
      <c r="K22" s="6">
        <f>G22</f>
        <v>-0.34435244999622228</v>
      </c>
      <c r="Q22" s="2">
        <f t="shared" si="3"/>
        <v>18187.961000000003</v>
      </c>
    </row>
    <row r="23" spans="1:17" x14ac:dyDescent="0.2">
      <c r="A23" s="60" t="s">
        <v>74</v>
      </c>
      <c r="B23" s="61" t="s">
        <v>51</v>
      </c>
      <c r="C23" s="62">
        <v>33477.569000000003</v>
      </c>
      <c r="D23" s="17"/>
      <c r="E23" s="38">
        <f t="shared" si="0"/>
        <v>-548.01386112807245</v>
      </c>
      <c r="F23" s="67">
        <f t="shared" si="1"/>
        <v>-547.5</v>
      </c>
      <c r="G23">
        <f t="shared" si="2"/>
        <v>-0.35999974999867845</v>
      </c>
      <c r="K23" s="6">
        <f>G23</f>
        <v>-0.35999974999867845</v>
      </c>
      <c r="Q23" s="2">
        <f t="shared" si="3"/>
        <v>18459.069000000003</v>
      </c>
    </row>
    <row r="24" spans="1:17" x14ac:dyDescent="0.2">
      <c r="A24" s="60" t="s">
        <v>74</v>
      </c>
      <c r="B24" s="61" t="s">
        <v>51</v>
      </c>
      <c r="C24" s="62">
        <v>33861.495000000003</v>
      </c>
      <c r="D24" s="17"/>
      <c r="E24" s="38">
        <f t="shared" si="0"/>
        <v>-5.7095720143485499E-4</v>
      </c>
      <c r="F24" s="67">
        <f t="shared" si="1"/>
        <v>0.5</v>
      </c>
      <c r="G24">
        <f t="shared" si="2"/>
        <v>-0.35068894999858458</v>
      </c>
      <c r="K24" s="6">
        <f>G24</f>
        <v>-0.35068894999858458</v>
      </c>
      <c r="Q24" s="2">
        <f t="shared" si="3"/>
        <v>18842.995000000003</v>
      </c>
    </row>
    <row r="25" spans="1:17" x14ac:dyDescent="0.2">
      <c r="A25" t="s">
        <v>13</v>
      </c>
      <c r="C25" s="66">
        <v>33861.4954</v>
      </c>
      <c r="D25" s="17" t="s">
        <v>15</v>
      </c>
      <c r="E25">
        <f t="shared" si="0"/>
        <v>0</v>
      </c>
      <c r="F25" s="67">
        <f t="shared" si="1"/>
        <v>0.5</v>
      </c>
      <c r="G25">
        <f t="shared" si="2"/>
        <v>-0.35028895000141347</v>
      </c>
      <c r="H25" s="68">
        <f>G25</f>
        <v>-0.35028895000141347</v>
      </c>
      <c r="Q25" s="2">
        <f t="shared" si="3"/>
        <v>18842.9954</v>
      </c>
    </row>
    <row r="26" spans="1:17" x14ac:dyDescent="0.2">
      <c r="A26" s="63" t="s">
        <v>74</v>
      </c>
      <c r="B26" s="61" t="s">
        <v>51</v>
      </c>
      <c r="C26" s="62">
        <v>34374.317000000003</v>
      </c>
      <c r="D26" s="32"/>
      <c r="E26" s="38">
        <f t="shared" si="0"/>
        <v>731.99796910522434</v>
      </c>
      <c r="F26" s="67">
        <f t="shared" si="1"/>
        <v>732.5</v>
      </c>
      <c r="G26">
        <f t="shared" si="2"/>
        <v>-0.35171174999413779</v>
      </c>
      <c r="K26" s="6">
        <f>G26</f>
        <v>-0.35171174999413779</v>
      </c>
      <c r="Q26" s="2">
        <f t="shared" si="3"/>
        <v>19355.817000000003</v>
      </c>
    </row>
    <row r="27" spans="1:17" x14ac:dyDescent="0.2">
      <c r="A27" s="64" t="s">
        <v>74</v>
      </c>
      <c r="B27" s="65" t="s">
        <v>51</v>
      </c>
      <c r="C27" s="62">
        <v>34697.286</v>
      </c>
      <c r="D27" s="17"/>
      <c r="E27" s="38">
        <f t="shared" si="0"/>
        <v>1193.0016633410792</v>
      </c>
      <c r="F27" s="67">
        <f t="shared" si="1"/>
        <v>1193.5</v>
      </c>
      <c r="G27">
        <f t="shared" si="2"/>
        <v>-0.34912364999763668</v>
      </c>
      <c r="K27" s="6">
        <f>G27</f>
        <v>-0.34912364999763668</v>
      </c>
      <c r="Q27" s="2">
        <f t="shared" si="3"/>
        <v>19678.786</v>
      </c>
    </row>
    <row r="28" spans="1:17" x14ac:dyDescent="0.2">
      <c r="A28" s="64" t="s">
        <v>74</v>
      </c>
      <c r="B28" s="65" t="s">
        <v>51</v>
      </c>
      <c r="C28" s="62">
        <v>34963.504000000001</v>
      </c>
      <c r="D28" s="17"/>
      <c r="E28" s="38">
        <f t="shared" si="0"/>
        <v>1572.9993766574723</v>
      </c>
      <c r="F28" s="67">
        <f t="shared" si="1"/>
        <v>1573.5</v>
      </c>
      <c r="G28">
        <f t="shared" si="2"/>
        <v>-0.35072565000155009</v>
      </c>
      <c r="K28" s="6">
        <f>G28</f>
        <v>-0.35072565000155009</v>
      </c>
      <c r="Q28" s="2">
        <f t="shared" si="3"/>
        <v>19945.004000000001</v>
      </c>
    </row>
    <row r="29" spans="1:17" x14ac:dyDescent="0.2">
      <c r="A29" s="37" t="s">
        <v>50</v>
      </c>
      <c r="B29" s="31" t="s">
        <v>51</v>
      </c>
      <c r="C29" s="37">
        <v>51780.367899999997</v>
      </c>
      <c r="D29" s="37">
        <v>1.6999999999999999E-3</v>
      </c>
      <c r="E29" s="38">
        <f t="shared" si="0"/>
        <v>25577.273419558336</v>
      </c>
      <c r="F29">
        <f t="shared" ref="F29:F75" si="4">ROUND(2*E29,0)/2</f>
        <v>25577.5</v>
      </c>
      <c r="G29">
        <f t="shared" si="2"/>
        <v>-0.15873725000710692</v>
      </c>
      <c r="I29" s="6">
        <f t="shared" ref="I29:I36" si="5">G29</f>
        <v>-0.15873725000710692</v>
      </c>
      <c r="O29">
        <f t="shared" ref="O29:O66" ca="1" si="6">+C$11+C$12*F29</f>
        <v>-0.16097935248089468</v>
      </c>
      <c r="Q29" s="2">
        <f t="shared" si="3"/>
        <v>36761.867899999997</v>
      </c>
    </row>
    <row r="30" spans="1:17" x14ac:dyDescent="0.2">
      <c r="A30" s="39" t="s">
        <v>50</v>
      </c>
      <c r="B30" s="40" t="s">
        <v>51</v>
      </c>
      <c r="C30" s="39">
        <v>51780.367899999997</v>
      </c>
      <c r="D30" s="39">
        <v>1.6999999999999999E-3</v>
      </c>
      <c r="E30" s="38">
        <f t="shared" si="0"/>
        <v>25577.273419558336</v>
      </c>
      <c r="F30">
        <f t="shared" si="4"/>
        <v>25577.5</v>
      </c>
      <c r="G30">
        <f t="shared" si="2"/>
        <v>-0.15873725000710692</v>
      </c>
      <c r="I30" s="6">
        <f t="shared" si="5"/>
        <v>-0.15873725000710692</v>
      </c>
      <c r="O30">
        <f t="shared" ca="1" si="6"/>
        <v>-0.16097935248089468</v>
      </c>
      <c r="Q30" s="2">
        <f t="shared" si="3"/>
        <v>36761.867899999997</v>
      </c>
    </row>
    <row r="31" spans="1:17" x14ac:dyDescent="0.2">
      <c r="A31" s="39" t="s">
        <v>50</v>
      </c>
      <c r="B31" s="40" t="s">
        <v>51</v>
      </c>
      <c r="C31" s="39">
        <v>51816.444799999997</v>
      </c>
      <c r="D31" s="39">
        <v>2.5999999999999999E-3</v>
      </c>
      <c r="E31" s="38">
        <f t="shared" si="0"/>
        <v>25628.769334573641</v>
      </c>
      <c r="F31">
        <f t="shared" si="4"/>
        <v>25629</v>
      </c>
      <c r="G31">
        <f t="shared" si="2"/>
        <v>-0.16159909999987576</v>
      </c>
      <c r="I31" s="6">
        <f t="shared" si="5"/>
        <v>-0.16159909999987576</v>
      </c>
      <c r="O31">
        <f t="shared" ca="1" si="6"/>
        <v>-0.16024969318025134</v>
      </c>
      <c r="Q31" s="2">
        <f t="shared" si="3"/>
        <v>36797.944799999997</v>
      </c>
    </row>
    <row r="32" spans="1:17" x14ac:dyDescent="0.2">
      <c r="A32" s="39" t="s">
        <v>50</v>
      </c>
      <c r="B32" s="40" t="s">
        <v>51</v>
      </c>
      <c r="C32" s="39">
        <v>51817.498500000002</v>
      </c>
      <c r="D32" s="39">
        <v>5.9999999999999995E-4</v>
      </c>
      <c r="E32" s="38">
        <f t="shared" si="0"/>
        <v>25630.273378592163</v>
      </c>
      <c r="F32">
        <f t="shared" si="4"/>
        <v>25630.5</v>
      </c>
      <c r="G32">
        <f t="shared" si="2"/>
        <v>-0.15876594999281224</v>
      </c>
      <c r="I32" s="6">
        <f t="shared" si="5"/>
        <v>-0.15876594999281224</v>
      </c>
      <c r="O32">
        <f t="shared" ca="1" si="6"/>
        <v>-0.16022844096761124</v>
      </c>
      <c r="Q32" s="2">
        <f t="shared" si="3"/>
        <v>36798.998500000002</v>
      </c>
    </row>
    <row r="33" spans="1:17" x14ac:dyDescent="0.2">
      <c r="A33" s="39" t="s">
        <v>50</v>
      </c>
      <c r="B33" s="40" t="s">
        <v>51</v>
      </c>
      <c r="C33" s="39">
        <v>52085.477099999996</v>
      </c>
      <c r="D33" s="39">
        <v>1E-3</v>
      </c>
      <c r="E33" s="38">
        <f t="shared" si="0"/>
        <v>26012.784160048435</v>
      </c>
      <c r="F33">
        <f t="shared" si="4"/>
        <v>26013</v>
      </c>
      <c r="G33">
        <f t="shared" si="2"/>
        <v>-0.15121270000236109</v>
      </c>
      <c r="I33" s="6">
        <f t="shared" si="5"/>
        <v>-0.15121270000236109</v>
      </c>
      <c r="O33">
        <f t="shared" ca="1" si="6"/>
        <v>-0.15480912674438629</v>
      </c>
      <c r="Q33" s="2">
        <f t="shared" si="3"/>
        <v>37066.977099999996</v>
      </c>
    </row>
    <row r="34" spans="1:17" x14ac:dyDescent="0.2">
      <c r="A34" s="39" t="s">
        <v>50</v>
      </c>
      <c r="B34" s="40" t="s">
        <v>51</v>
      </c>
      <c r="C34" s="39">
        <v>52113.499499999998</v>
      </c>
      <c r="D34" s="39">
        <v>1.5E-3</v>
      </c>
      <c r="E34" s="38">
        <f t="shared" si="0"/>
        <v>26052.78313803504</v>
      </c>
      <c r="F34">
        <f t="shared" si="4"/>
        <v>26053</v>
      </c>
      <c r="G34">
        <f t="shared" si="2"/>
        <v>-0.15192870000464609</v>
      </c>
      <c r="I34" s="6">
        <f t="shared" si="5"/>
        <v>-0.15192870000464609</v>
      </c>
      <c r="O34">
        <f t="shared" ca="1" si="6"/>
        <v>-0.15424240107398368</v>
      </c>
      <c r="Q34" s="2">
        <f t="shared" si="3"/>
        <v>37094.999499999998</v>
      </c>
    </row>
    <row r="35" spans="1:17" x14ac:dyDescent="0.2">
      <c r="A35" s="39" t="s">
        <v>50</v>
      </c>
      <c r="B35" s="40" t="s">
        <v>51</v>
      </c>
      <c r="C35" s="39">
        <v>52134.513599999998</v>
      </c>
      <c r="D35" s="39">
        <v>1.1000000000000001E-3</v>
      </c>
      <c r="E35" s="38">
        <f t="shared" si="0"/>
        <v>26082.778517563856</v>
      </c>
      <c r="F35">
        <f t="shared" si="4"/>
        <v>26083</v>
      </c>
      <c r="G35">
        <f t="shared" si="2"/>
        <v>-0.15516570000181673</v>
      </c>
      <c r="I35" s="6">
        <f t="shared" si="5"/>
        <v>-0.15516570000181673</v>
      </c>
      <c r="O35">
        <f t="shared" ca="1" si="6"/>
        <v>-0.15381735682118169</v>
      </c>
      <c r="Q35" s="2">
        <f t="shared" si="3"/>
        <v>37116.013599999998</v>
      </c>
    </row>
    <row r="36" spans="1:17" x14ac:dyDescent="0.2">
      <c r="A36" s="39" t="s">
        <v>50</v>
      </c>
      <c r="B36" s="40" t="s">
        <v>51</v>
      </c>
      <c r="C36" s="39">
        <v>52194.417800000003</v>
      </c>
      <c r="D36" s="39">
        <v>1.8E-3</v>
      </c>
      <c r="E36" s="38">
        <f t="shared" si="0"/>
        <v>26168.28535413407</v>
      </c>
      <c r="F36">
        <f t="shared" si="4"/>
        <v>26168.5</v>
      </c>
      <c r="G36">
        <f t="shared" si="2"/>
        <v>-0.15037614999891957</v>
      </c>
      <c r="I36" s="6">
        <f t="shared" si="5"/>
        <v>-0.15037614999891957</v>
      </c>
      <c r="O36">
        <f t="shared" ca="1" si="6"/>
        <v>-0.15260598070069614</v>
      </c>
      <c r="Q36" s="2">
        <f t="shared" si="3"/>
        <v>37175.917800000003</v>
      </c>
    </row>
    <row r="37" spans="1:17" x14ac:dyDescent="0.2">
      <c r="A37" s="64" t="s">
        <v>122</v>
      </c>
      <c r="B37" s="65" t="s">
        <v>51</v>
      </c>
      <c r="C37" s="62">
        <v>52218.241999999998</v>
      </c>
      <c r="D37" s="17"/>
      <c r="E37" s="38">
        <f t="shared" si="0"/>
        <v>26202.291850770627</v>
      </c>
      <c r="F37">
        <f t="shared" si="4"/>
        <v>26202.5</v>
      </c>
      <c r="G37">
        <f t="shared" si="2"/>
        <v>-0.14582474999770056</v>
      </c>
      <c r="K37" s="6">
        <f>G37</f>
        <v>-0.14582474999770056</v>
      </c>
      <c r="O37">
        <f t="shared" ca="1" si="6"/>
        <v>-0.15212426388085393</v>
      </c>
      <c r="Q37" s="2">
        <f t="shared" si="3"/>
        <v>37199.741999999998</v>
      </c>
    </row>
    <row r="38" spans="1:17" x14ac:dyDescent="0.2">
      <c r="A38" s="39" t="s">
        <v>50</v>
      </c>
      <c r="B38" s="40" t="s">
        <v>51</v>
      </c>
      <c r="C38" s="39">
        <v>52228.395499999999</v>
      </c>
      <c r="D38" s="39">
        <v>1.5E-3</v>
      </c>
      <c r="E38" s="38">
        <f t="shared" si="0"/>
        <v>26216.784885735047</v>
      </c>
      <c r="F38">
        <f t="shared" si="4"/>
        <v>26217</v>
      </c>
      <c r="G38">
        <f t="shared" si="2"/>
        <v>-0.15070430000196211</v>
      </c>
      <c r="I38" s="6">
        <f>G38</f>
        <v>-0.15070430000196211</v>
      </c>
      <c r="O38">
        <f t="shared" ca="1" si="6"/>
        <v>-0.151918825825333</v>
      </c>
      <c r="Q38" s="2">
        <f t="shared" si="3"/>
        <v>37209.895499999999</v>
      </c>
    </row>
    <row r="39" spans="1:17" x14ac:dyDescent="0.2">
      <c r="A39" s="64" t="s">
        <v>122</v>
      </c>
      <c r="B39" s="65" t="s">
        <v>51</v>
      </c>
      <c r="C39" s="62">
        <v>52277.434000000001</v>
      </c>
      <c r="D39" s="17"/>
      <c r="E39" s="38">
        <f t="shared" si="0"/>
        <v>26286.782098036496</v>
      </c>
      <c r="F39">
        <f t="shared" si="4"/>
        <v>26287</v>
      </c>
      <c r="G39">
        <f t="shared" si="2"/>
        <v>-0.15265729999373434</v>
      </c>
      <c r="K39" s="6">
        <f>G39</f>
        <v>-0.15265729999373434</v>
      </c>
      <c r="O39">
        <f t="shared" ca="1" si="6"/>
        <v>-0.1509270559021284</v>
      </c>
      <c r="Q39" s="2">
        <f t="shared" si="3"/>
        <v>37258.934000000001</v>
      </c>
    </row>
    <row r="40" spans="1:17" x14ac:dyDescent="0.2">
      <c r="A40" s="38" t="s">
        <v>33</v>
      </c>
      <c r="B40" s="41"/>
      <c r="C40" s="32">
        <v>52505.479700000004</v>
      </c>
      <c r="D40" s="32">
        <v>1.8E-3</v>
      </c>
      <c r="E40" s="38">
        <f t="shared" si="0"/>
        <v>26612.292937016718</v>
      </c>
      <c r="F40">
        <f t="shared" si="4"/>
        <v>26612.5</v>
      </c>
      <c r="G40">
        <f t="shared" si="2"/>
        <v>-0.14506374999473337</v>
      </c>
      <c r="H40" s="11"/>
      <c r="I40" s="6">
        <f t="shared" ref="I40:I45" si="7">G40</f>
        <v>-0.14506374999473337</v>
      </c>
      <c r="J40" s="6"/>
      <c r="O40">
        <f t="shared" ca="1" si="6"/>
        <v>-0.14631532575922718</v>
      </c>
      <c r="Q40" s="2">
        <f t="shared" si="3"/>
        <v>37486.979700000004</v>
      </c>
    </row>
    <row r="41" spans="1:17" x14ac:dyDescent="0.2">
      <c r="A41" s="38" t="s">
        <v>34</v>
      </c>
      <c r="B41" s="41" t="s">
        <v>35</v>
      </c>
      <c r="C41" s="32">
        <v>52555.572999999997</v>
      </c>
      <c r="D41" s="32">
        <v>1E-3</v>
      </c>
      <c r="E41" s="38">
        <f t="shared" si="0"/>
        <v>26683.795763468985</v>
      </c>
      <c r="F41">
        <f t="shared" si="4"/>
        <v>26684</v>
      </c>
      <c r="G41">
        <f t="shared" si="2"/>
        <v>-0.14308359999995446</v>
      </c>
      <c r="I41" s="6">
        <f t="shared" si="7"/>
        <v>-0.14308359999995446</v>
      </c>
      <c r="O41">
        <f t="shared" ca="1" si="6"/>
        <v>-0.14530230362338253</v>
      </c>
      <c r="Q41" s="2">
        <f t="shared" si="3"/>
        <v>37537.072999999997</v>
      </c>
    </row>
    <row r="42" spans="1:17" x14ac:dyDescent="0.2">
      <c r="A42" s="38" t="s">
        <v>33</v>
      </c>
      <c r="B42" s="31"/>
      <c r="C42" s="32">
        <v>52621.429499999998</v>
      </c>
      <c r="D42" s="32">
        <v>4.0000000000000001E-3</v>
      </c>
      <c r="E42" s="38">
        <f t="shared" si="0"/>
        <v>26777.798871474533</v>
      </c>
      <c r="F42">
        <f t="shared" si="4"/>
        <v>26778</v>
      </c>
      <c r="G42">
        <f t="shared" si="2"/>
        <v>-0.140906200002064</v>
      </c>
      <c r="H42" s="11"/>
      <c r="I42" s="6">
        <f t="shared" si="7"/>
        <v>-0.140906200002064</v>
      </c>
      <c r="J42" s="6"/>
      <c r="O42">
        <f t="shared" ca="1" si="6"/>
        <v>-0.1439704982979364</v>
      </c>
      <c r="Q42" s="2">
        <f t="shared" si="3"/>
        <v>37602.929499999998</v>
      </c>
    </row>
    <row r="43" spans="1:17" x14ac:dyDescent="0.2">
      <c r="A43" s="39" t="s">
        <v>39</v>
      </c>
      <c r="B43" s="40" t="s">
        <v>51</v>
      </c>
      <c r="C43" s="39">
        <v>52855.425799999997</v>
      </c>
      <c r="D43" s="39">
        <v>2.5000000000000001E-3</v>
      </c>
      <c r="E43" s="38">
        <f t="shared" si="0"/>
        <v>27111.803555321967</v>
      </c>
      <c r="F43">
        <f t="shared" si="4"/>
        <v>27112</v>
      </c>
      <c r="G43">
        <f t="shared" si="2"/>
        <v>-0.1376248000015039</v>
      </c>
      <c r="I43" s="6">
        <f t="shared" si="7"/>
        <v>-0.1376248000015039</v>
      </c>
      <c r="O43">
        <f t="shared" ca="1" si="6"/>
        <v>-0.13923833895007459</v>
      </c>
      <c r="Q43" s="2">
        <f t="shared" si="3"/>
        <v>37836.925799999997</v>
      </c>
    </row>
    <row r="44" spans="1:17" x14ac:dyDescent="0.2">
      <c r="A44" s="39" t="s">
        <v>39</v>
      </c>
      <c r="B44" s="40" t="s">
        <v>51</v>
      </c>
      <c r="C44" s="39">
        <v>52875.3891</v>
      </c>
      <c r="D44" s="39">
        <v>5.9999999999999995E-4</v>
      </c>
      <c r="E44" s="38">
        <f t="shared" si="0"/>
        <v>27140.29903027201</v>
      </c>
      <c r="F44">
        <f t="shared" si="4"/>
        <v>27140.5</v>
      </c>
      <c r="G44">
        <f t="shared" si="2"/>
        <v>-0.14079494999896269</v>
      </c>
      <c r="I44" s="6">
        <f t="shared" si="7"/>
        <v>-0.14079494999896269</v>
      </c>
      <c r="O44">
        <f t="shared" ca="1" si="6"/>
        <v>-0.13883454690991276</v>
      </c>
      <c r="Q44" s="2">
        <f t="shared" si="3"/>
        <v>37856.8891</v>
      </c>
    </row>
    <row r="45" spans="1:17" x14ac:dyDescent="0.2">
      <c r="A45" s="39" t="s">
        <v>39</v>
      </c>
      <c r="B45" s="40" t="s">
        <v>51</v>
      </c>
      <c r="C45" s="39">
        <v>52878.549899999998</v>
      </c>
      <c r="D45" s="39">
        <v>5.9999999999999995E-4</v>
      </c>
      <c r="E45" s="38">
        <f t="shared" si="0"/>
        <v>27144.810734109655</v>
      </c>
      <c r="F45">
        <f t="shared" si="4"/>
        <v>27145</v>
      </c>
      <c r="G45">
        <f t="shared" si="2"/>
        <v>-0.13259549999929732</v>
      </c>
      <c r="I45" s="6">
        <f t="shared" si="7"/>
        <v>-0.13259549999929732</v>
      </c>
      <c r="O45">
        <f t="shared" ca="1" si="6"/>
        <v>-0.13877079027199246</v>
      </c>
      <c r="Q45" s="2">
        <f t="shared" si="3"/>
        <v>37860.049899999998</v>
      </c>
    </row>
    <row r="46" spans="1:17" x14ac:dyDescent="0.2">
      <c r="A46" s="42" t="s">
        <v>38</v>
      </c>
      <c r="B46" s="41"/>
      <c r="C46" s="32">
        <v>53166.834900000002</v>
      </c>
      <c r="D46" s="32">
        <v>2.9999999999999997E-4</v>
      </c>
      <c r="E46" s="38">
        <f t="shared" si="0"/>
        <v>27556.306729058972</v>
      </c>
      <c r="F46">
        <f t="shared" si="4"/>
        <v>27556.5</v>
      </c>
      <c r="G46">
        <f t="shared" si="2"/>
        <v>-0.13540134999493603</v>
      </c>
      <c r="J46" s="6">
        <f>G46</f>
        <v>-0.13540134999493603</v>
      </c>
      <c r="O46">
        <f t="shared" ca="1" si="6"/>
        <v>-0.13294059993772561</v>
      </c>
      <c r="Q46" s="2">
        <f t="shared" si="3"/>
        <v>38148.334900000002</v>
      </c>
    </row>
    <row r="47" spans="1:17" x14ac:dyDescent="0.2">
      <c r="A47" s="39" t="s">
        <v>41</v>
      </c>
      <c r="B47" s="40" t="s">
        <v>51</v>
      </c>
      <c r="C47" s="39">
        <v>53233.3894</v>
      </c>
      <c r="D47" s="39">
        <v>1.9E-3</v>
      </c>
      <c r="E47" s="38">
        <f t="shared" si="0"/>
        <v>27651.306157388066</v>
      </c>
      <c r="F47">
        <f t="shared" si="4"/>
        <v>27651.5</v>
      </c>
      <c r="G47">
        <f t="shared" si="2"/>
        <v>-0.13580185000319034</v>
      </c>
      <c r="I47" s="6">
        <f t="shared" ref="I47:I52" si="8">G47</f>
        <v>-0.13580185000319034</v>
      </c>
      <c r="O47">
        <f t="shared" ca="1" si="6"/>
        <v>-0.13159462647051945</v>
      </c>
      <c r="Q47" s="2">
        <f t="shared" si="3"/>
        <v>38214.8894</v>
      </c>
    </row>
    <row r="48" spans="1:17" x14ac:dyDescent="0.2">
      <c r="A48" s="39" t="s">
        <v>41</v>
      </c>
      <c r="B48" s="40" t="s">
        <v>51</v>
      </c>
      <c r="C48" s="39">
        <v>53242.494299999998</v>
      </c>
      <c r="D48" s="39">
        <v>2.3999999999999998E-3</v>
      </c>
      <c r="E48" s="38">
        <f t="shared" si="0"/>
        <v>27664.302428038336</v>
      </c>
      <c r="F48">
        <f t="shared" si="4"/>
        <v>27664.5</v>
      </c>
      <c r="G48">
        <f t="shared" si="2"/>
        <v>-0.13841454999783309</v>
      </c>
      <c r="I48" s="6">
        <f t="shared" si="8"/>
        <v>-0.13841454999783309</v>
      </c>
      <c r="O48">
        <f t="shared" ca="1" si="6"/>
        <v>-0.13141044062763857</v>
      </c>
      <c r="Q48" s="2">
        <f t="shared" si="3"/>
        <v>38223.994299999998</v>
      </c>
    </row>
    <row r="49" spans="1:17" x14ac:dyDescent="0.2">
      <c r="A49" s="39" t="s">
        <v>41</v>
      </c>
      <c r="B49" s="40" t="s">
        <v>51</v>
      </c>
      <c r="C49" s="39">
        <v>53250.553500000002</v>
      </c>
      <c r="D49" s="39">
        <v>2.3E-3</v>
      </c>
      <c r="E49" s="38">
        <f t="shared" si="0"/>
        <v>27675.806073814209</v>
      </c>
      <c r="F49">
        <f t="shared" si="4"/>
        <v>27676</v>
      </c>
      <c r="G49">
        <f t="shared" si="2"/>
        <v>-0.13586039999790955</v>
      </c>
      <c r="I49" s="6">
        <f t="shared" si="8"/>
        <v>-0.13586039999790955</v>
      </c>
      <c r="O49">
        <f t="shared" ca="1" si="6"/>
        <v>-0.13124750699739784</v>
      </c>
      <c r="Q49" s="2">
        <f t="shared" si="3"/>
        <v>38232.053500000002</v>
      </c>
    </row>
    <row r="50" spans="1:17" x14ac:dyDescent="0.2">
      <c r="A50" s="39" t="s">
        <v>41</v>
      </c>
      <c r="B50" s="40" t="s">
        <v>51</v>
      </c>
      <c r="C50" s="39">
        <v>53256.5101</v>
      </c>
      <c r="D50" s="39">
        <v>2.5999999999999999E-3</v>
      </c>
      <c r="E50" s="38">
        <f t="shared" si="0"/>
        <v>27684.308483039502</v>
      </c>
      <c r="F50">
        <f t="shared" si="4"/>
        <v>27684.5</v>
      </c>
      <c r="G50">
        <f t="shared" si="2"/>
        <v>-0.13417254999512807</v>
      </c>
      <c r="I50" s="6">
        <f t="shared" si="8"/>
        <v>-0.13417254999512807</v>
      </c>
      <c r="O50">
        <f t="shared" ca="1" si="6"/>
        <v>-0.13112707779243726</v>
      </c>
      <c r="Q50" s="2">
        <f t="shared" si="3"/>
        <v>38238.0101</v>
      </c>
    </row>
    <row r="51" spans="1:17" x14ac:dyDescent="0.2">
      <c r="A51" s="39" t="s">
        <v>48</v>
      </c>
      <c r="B51" s="40" t="s">
        <v>51</v>
      </c>
      <c r="C51" s="39">
        <v>53653.3969</v>
      </c>
      <c r="D51" s="39">
        <v>3.0000000000000001E-3</v>
      </c>
      <c r="E51" s="38">
        <f t="shared" si="0"/>
        <v>28250.821928582103</v>
      </c>
      <c r="F51">
        <f t="shared" si="4"/>
        <v>28251</v>
      </c>
      <c r="G51">
        <f t="shared" si="2"/>
        <v>-0.12475290000293171</v>
      </c>
      <c r="I51" s="6">
        <f t="shared" si="8"/>
        <v>-0.12475290000293171</v>
      </c>
      <c r="O51">
        <f t="shared" ca="1" si="6"/>
        <v>-0.12310082548536033</v>
      </c>
      <c r="Q51" s="2">
        <f t="shared" si="3"/>
        <v>38634.8969</v>
      </c>
    </row>
    <row r="52" spans="1:17" x14ac:dyDescent="0.2">
      <c r="A52" s="39" t="s">
        <v>54</v>
      </c>
      <c r="B52" s="40" t="s">
        <v>51</v>
      </c>
      <c r="C52" s="39">
        <v>54403.731899999999</v>
      </c>
      <c r="D52" s="39">
        <v>2.0000000000000001E-4</v>
      </c>
      <c r="E52" s="38">
        <f t="shared" si="0"/>
        <v>29321.844865503179</v>
      </c>
      <c r="F52">
        <f t="shared" si="4"/>
        <v>29322</v>
      </c>
      <c r="G52">
        <f t="shared" si="2"/>
        <v>-0.1086838000046555</v>
      </c>
      <c r="I52" s="6">
        <f t="shared" si="8"/>
        <v>-0.1086838000046555</v>
      </c>
      <c r="O52">
        <f t="shared" ca="1" si="6"/>
        <v>-0.1079267456603305</v>
      </c>
      <c r="Q52" s="2">
        <f t="shared" si="3"/>
        <v>39385.231899999999</v>
      </c>
    </row>
    <row r="53" spans="1:17" x14ac:dyDescent="0.2">
      <c r="A53" s="64" t="s">
        <v>197</v>
      </c>
      <c r="B53" s="65" t="s">
        <v>51</v>
      </c>
      <c r="C53" s="62">
        <v>54738.612099999998</v>
      </c>
      <c r="D53" s="17"/>
      <c r="E53" s="38">
        <f t="shared" si="0"/>
        <v>29799.850523403606</v>
      </c>
      <c r="F53">
        <f t="shared" si="4"/>
        <v>29800</v>
      </c>
      <c r="G53">
        <f t="shared" si="2"/>
        <v>-0.10472000000299886</v>
      </c>
      <c r="K53" s="6">
        <f t="shared" ref="K53:K59" si="9">G53</f>
        <v>-0.10472000000299886</v>
      </c>
      <c r="O53">
        <f t="shared" ca="1" si="6"/>
        <v>-0.10115437389901932</v>
      </c>
      <c r="Q53" s="2">
        <f t="shared" si="3"/>
        <v>39720.112099999998</v>
      </c>
    </row>
    <row r="54" spans="1:17" x14ac:dyDescent="0.2">
      <c r="A54" s="64" t="s">
        <v>197</v>
      </c>
      <c r="B54" s="65" t="s">
        <v>35</v>
      </c>
      <c r="C54" s="62">
        <v>54798.513200000001</v>
      </c>
      <c r="D54" s="17"/>
      <c r="E54" s="38">
        <f t="shared" si="0"/>
        <v>29885.352935055478</v>
      </c>
      <c r="F54">
        <f t="shared" si="4"/>
        <v>29885.5</v>
      </c>
      <c r="G54">
        <f t="shared" si="2"/>
        <v>-0.10303045000182465</v>
      </c>
      <c r="K54" s="6">
        <f t="shared" si="9"/>
        <v>-0.10303045000182465</v>
      </c>
      <c r="O54">
        <f t="shared" ca="1" si="6"/>
        <v>-9.9942997778533771E-2</v>
      </c>
      <c r="Q54" s="2">
        <f t="shared" si="3"/>
        <v>39780.013200000001</v>
      </c>
    </row>
    <row r="55" spans="1:17" x14ac:dyDescent="0.2">
      <c r="A55" s="64" t="s">
        <v>206</v>
      </c>
      <c r="B55" s="65" t="s">
        <v>51</v>
      </c>
      <c r="C55" s="62">
        <v>55050.379300000001</v>
      </c>
      <c r="D55" s="17"/>
      <c r="E55" s="38">
        <f t="shared" si="0"/>
        <v>30244.864846578806</v>
      </c>
      <c r="F55">
        <f t="shared" si="4"/>
        <v>30245</v>
      </c>
      <c r="G55">
        <f t="shared" si="2"/>
        <v>-9.4685500000196043E-2</v>
      </c>
      <c r="K55" s="6">
        <f t="shared" si="9"/>
        <v>-9.4685500000196043E-2</v>
      </c>
      <c r="O55">
        <f t="shared" ca="1" si="6"/>
        <v>-9.4849550815790273E-2</v>
      </c>
      <c r="Q55" s="2">
        <f t="shared" si="3"/>
        <v>40031.879300000001</v>
      </c>
    </row>
    <row r="56" spans="1:17" x14ac:dyDescent="0.2">
      <c r="A56" s="64" t="s">
        <v>206</v>
      </c>
      <c r="B56" s="65" t="s">
        <v>35</v>
      </c>
      <c r="C56" s="62">
        <v>55051.426500000001</v>
      </c>
      <c r="D56" s="17"/>
      <c r="E56" s="38">
        <f t="shared" si="0"/>
        <v>30246.359612542736</v>
      </c>
      <c r="F56">
        <f t="shared" si="4"/>
        <v>30246.5</v>
      </c>
      <c r="G56">
        <f t="shared" si="2"/>
        <v>-9.8352349996275734E-2</v>
      </c>
      <c r="K56" s="6">
        <f t="shared" si="9"/>
        <v>-9.8352349996275734E-2</v>
      </c>
      <c r="O56">
        <f t="shared" ca="1" si="6"/>
        <v>-9.4828298603150174E-2</v>
      </c>
      <c r="Q56" s="2">
        <f t="shared" si="3"/>
        <v>40032.926500000001</v>
      </c>
    </row>
    <row r="57" spans="1:17" x14ac:dyDescent="0.2">
      <c r="A57" s="64" t="s">
        <v>206</v>
      </c>
      <c r="B57" s="65" t="s">
        <v>35</v>
      </c>
      <c r="C57" s="62">
        <v>55058.431700000001</v>
      </c>
      <c r="D57" s="17"/>
      <c r="E57" s="38">
        <f t="shared" si="0"/>
        <v>30256.358786082179</v>
      </c>
      <c r="F57">
        <f t="shared" si="4"/>
        <v>30256.5</v>
      </c>
      <c r="G57">
        <f t="shared" si="2"/>
        <v>-9.8931350003113039E-2</v>
      </c>
      <c r="K57" s="6">
        <f t="shared" si="9"/>
        <v>-9.8931350003113039E-2</v>
      </c>
      <c r="O57">
        <f t="shared" ca="1" si="6"/>
        <v>-9.4686617185549549E-2</v>
      </c>
      <c r="Q57" s="2">
        <f t="shared" si="3"/>
        <v>40039.931700000001</v>
      </c>
    </row>
    <row r="58" spans="1:17" x14ac:dyDescent="0.2">
      <c r="A58" s="64" t="s">
        <v>206</v>
      </c>
      <c r="B58" s="65" t="s">
        <v>51</v>
      </c>
      <c r="C58" s="62">
        <v>55125.342499999999</v>
      </c>
      <c r="D58" s="17"/>
      <c r="E58" s="38">
        <f t="shared" si="0"/>
        <v>30351.866794542049</v>
      </c>
      <c r="F58">
        <f t="shared" si="4"/>
        <v>30352</v>
      </c>
      <c r="G58">
        <f t="shared" si="2"/>
        <v>-9.3320799998764414E-2</v>
      </c>
      <c r="K58" s="6">
        <f t="shared" si="9"/>
        <v>-9.3320799998764414E-2</v>
      </c>
      <c r="O58">
        <f t="shared" ca="1" si="6"/>
        <v>-9.3333559647463316E-2</v>
      </c>
      <c r="Q58" s="2">
        <f t="shared" si="3"/>
        <v>40106.842499999999</v>
      </c>
    </row>
    <row r="59" spans="1:17" s="74" customFormat="1" x14ac:dyDescent="0.2">
      <c r="A59" s="64" t="s">
        <v>206</v>
      </c>
      <c r="B59" s="65" t="s">
        <v>51</v>
      </c>
      <c r="C59" s="62">
        <v>55141.454599999997</v>
      </c>
      <c r="D59" s="73"/>
      <c r="E59" s="38">
        <f t="shared" si="0"/>
        <v>30374.86509351779</v>
      </c>
      <c r="F59" s="74">
        <f t="shared" si="4"/>
        <v>30375</v>
      </c>
      <c r="G59" s="74">
        <f t="shared" si="2"/>
        <v>-9.4512499999837019E-2</v>
      </c>
      <c r="K59" s="75">
        <f t="shared" si="9"/>
        <v>-9.4512499999837019E-2</v>
      </c>
      <c r="O59" s="74">
        <f t="shared" ca="1" si="6"/>
        <v>-9.3007692386981811E-2</v>
      </c>
      <c r="Q59" s="76">
        <f t="shared" si="3"/>
        <v>40122.954599999997</v>
      </c>
    </row>
    <row r="60" spans="1:17" s="74" customFormat="1" x14ac:dyDescent="0.2">
      <c r="A60" s="46" t="s">
        <v>57</v>
      </c>
      <c r="B60" s="46"/>
      <c r="C60" s="43">
        <v>55463.377099999998</v>
      </c>
      <c r="D60" s="43">
        <v>2.3999999999999998E-3</v>
      </c>
      <c r="E60" s="38">
        <f t="shared" si="0"/>
        <v>30834.375020964831</v>
      </c>
      <c r="F60" s="74">
        <f t="shared" si="4"/>
        <v>30834.5</v>
      </c>
      <c r="G60" s="74">
        <f t="shared" si="2"/>
        <v>-8.7557549995835871E-2</v>
      </c>
      <c r="I60" s="75">
        <f>G60</f>
        <v>-8.7557549995835871E-2</v>
      </c>
      <c r="O60" s="74">
        <f t="shared" ca="1" si="6"/>
        <v>-8.6497431248231837E-2</v>
      </c>
      <c r="Q60" s="76">
        <f t="shared" si="3"/>
        <v>40444.877099999998</v>
      </c>
    </row>
    <row r="61" spans="1:17" s="74" customFormat="1" x14ac:dyDescent="0.2">
      <c r="A61" s="64" t="s">
        <v>233</v>
      </c>
      <c r="B61" s="65" t="s">
        <v>51</v>
      </c>
      <c r="C61" s="62">
        <v>55808.419800000003</v>
      </c>
      <c r="D61" s="73"/>
      <c r="E61" s="38">
        <f t="shared" si="0"/>
        <v>31326.886560366813</v>
      </c>
      <c r="F61" s="74">
        <f t="shared" si="4"/>
        <v>31327</v>
      </c>
      <c r="G61" s="74">
        <f t="shared" si="2"/>
        <v>-7.947329999296926E-2</v>
      </c>
      <c r="K61" s="75">
        <f>G61</f>
        <v>-7.947329999296926E-2</v>
      </c>
      <c r="O61" s="74">
        <f t="shared" ca="1" si="6"/>
        <v>-7.9519621431399734E-2</v>
      </c>
      <c r="Q61" s="76">
        <f t="shared" si="3"/>
        <v>40789.919800000003</v>
      </c>
    </row>
    <row r="62" spans="1:17" s="74" customFormat="1" x14ac:dyDescent="0.2">
      <c r="A62" s="64" t="s">
        <v>233</v>
      </c>
      <c r="B62" s="65" t="s">
        <v>35</v>
      </c>
      <c r="C62" s="62">
        <v>55849.402099999999</v>
      </c>
      <c r="D62" s="73"/>
      <c r="E62" s="38">
        <f t="shared" si="0"/>
        <v>31385.384409071426</v>
      </c>
      <c r="F62" s="74">
        <f t="shared" si="4"/>
        <v>31385.5</v>
      </c>
      <c r="G62" s="74">
        <f t="shared" si="2"/>
        <v>-8.0980449994967785E-2</v>
      </c>
      <c r="K62" s="75">
        <f>G62</f>
        <v>-8.0980449994967785E-2</v>
      </c>
      <c r="O62" s="74">
        <f t="shared" ca="1" si="6"/>
        <v>-7.8690785138435915E-2</v>
      </c>
      <c r="Q62" s="76">
        <f t="shared" si="3"/>
        <v>40830.902099999999</v>
      </c>
    </row>
    <row r="63" spans="1:17" s="74" customFormat="1" x14ac:dyDescent="0.2">
      <c r="A63" s="64" t="s">
        <v>233</v>
      </c>
      <c r="B63" s="65" t="s">
        <v>35</v>
      </c>
      <c r="C63" s="62">
        <v>55851.503299999997</v>
      </c>
      <c r="D63" s="73"/>
      <c r="E63" s="38">
        <f t="shared" si="0"/>
        <v>31388.38364727177</v>
      </c>
      <c r="F63" s="74">
        <f t="shared" si="4"/>
        <v>31388.5</v>
      </c>
      <c r="G63" s="74">
        <f t="shared" si="2"/>
        <v>-8.1514150006114505E-2</v>
      </c>
      <c r="K63" s="75">
        <f>G63</f>
        <v>-8.1514150006114505E-2</v>
      </c>
      <c r="O63" s="74">
        <f t="shared" ca="1" si="6"/>
        <v>-7.8648280713155716E-2</v>
      </c>
      <c r="Q63" s="76">
        <f t="shared" si="3"/>
        <v>40833.003299999997</v>
      </c>
    </row>
    <row r="64" spans="1:17" s="74" customFormat="1" x14ac:dyDescent="0.2">
      <c r="A64" s="30" t="s">
        <v>55</v>
      </c>
      <c r="B64" s="41" t="s">
        <v>35</v>
      </c>
      <c r="C64" s="32">
        <v>56167.472199999997</v>
      </c>
      <c r="D64" s="32">
        <v>3.8E-3</v>
      </c>
      <c r="E64" s="38">
        <f t="shared" si="0"/>
        <v>31839.395447672552</v>
      </c>
      <c r="F64" s="74">
        <f t="shared" si="4"/>
        <v>31839.5</v>
      </c>
      <c r="G64" s="74">
        <f t="shared" si="2"/>
        <v>-7.3247050000645686E-2</v>
      </c>
      <c r="K64" s="75">
        <f>G64</f>
        <v>-7.3247050000645686E-2</v>
      </c>
      <c r="O64" s="74">
        <f t="shared" ca="1" si="6"/>
        <v>-7.2258448779366324E-2</v>
      </c>
      <c r="Q64" s="76">
        <f t="shared" si="3"/>
        <v>41148.972199999997</v>
      </c>
    </row>
    <row r="65" spans="1:17" s="74" customFormat="1" x14ac:dyDescent="0.2">
      <c r="A65" s="44" t="s">
        <v>56</v>
      </c>
      <c r="B65" s="31" t="s">
        <v>51</v>
      </c>
      <c r="C65" s="32">
        <v>56568.562400000003</v>
      </c>
      <c r="D65" s="45">
        <v>3.0000000000000001E-3</v>
      </c>
      <c r="E65" s="38">
        <f t="shared" si="0"/>
        <v>32411.908797008873</v>
      </c>
      <c r="F65" s="74">
        <f t="shared" si="4"/>
        <v>32412</v>
      </c>
      <c r="G65" s="74">
        <f t="shared" si="2"/>
        <v>-6.3894799997797236E-2</v>
      </c>
      <c r="K65" s="75">
        <f>G65</f>
        <v>-6.3894799997797236E-2</v>
      </c>
      <c r="O65" s="74">
        <f t="shared" ca="1" si="6"/>
        <v>-6.4147187621728996E-2</v>
      </c>
      <c r="Q65" s="76">
        <f t="shared" si="3"/>
        <v>41550.062400000003</v>
      </c>
    </row>
    <row r="66" spans="1:17" s="74" customFormat="1" x14ac:dyDescent="0.2">
      <c r="A66" s="44" t="s">
        <v>56</v>
      </c>
      <c r="B66" s="31" t="s">
        <v>51</v>
      </c>
      <c r="C66" s="32">
        <v>56600.438999999998</v>
      </c>
      <c r="D66" s="45">
        <v>4.4999999999999997E-3</v>
      </c>
      <c r="E66" s="38">
        <f t="shared" si="0"/>
        <v>32457.409233148803</v>
      </c>
      <c r="F66" s="74">
        <f t="shared" si="4"/>
        <v>32457.5</v>
      </c>
      <c r="G66" s="74">
        <f t="shared" si="2"/>
        <v>-6.3589249999495223E-2</v>
      </c>
      <c r="K66" s="75">
        <f>G66</f>
        <v>-6.3589249999495223E-2</v>
      </c>
      <c r="O66" s="74">
        <f t="shared" ca="1" si="6"/>
        <v>-6.3502537171646001E-2</v>
      </c>
      <c r="Q66" s="76">
        <f t="shared" si="3"/>
        <v>41581.938999999998</v>
      </c>
    </row>
    <row r="67" spans="1:17" s="74" customFormat="1" x14ac:dyDescent="0.2">
      <c r="A67" s="77" t="s">
        <v>256</v>
      </c>
      <c r="B67" s="78" t="s">
        <v>35</v>
      </c>
      <c r="C67" s="79">
        <v>57259.696799999998</v>
      </c>
      <c r="D67" s="79">
        <v>4.0000000000000002E-4</v>
      </c>
      <c r="E67" s="38">
        <f t="shared" ref="E67:E75" si="10">+(C67-C$7)/C$8</f>
        <v>33398.429211084163</v>
      </c>
      <c r="F67" s="74">
        <f t="shared" si="4"/>
        <v>33398.5</v>
      </c>
      <c r="G67" s="74">
        <f t="shared" ref="G67:G75" si="11">+C67-(C$7+F67*C$8)</f>
        <v>-4.9593149997235741E-2</v>
      </c>
      <c r="K67" s="75">
        <f>G67</f>
        <v>-4.9593149997235741E-2</v>
      </c>
      <c r="O67" s="74">
        <f t="shared" ref="O67:O75" ca="1" si="12">+C$11+C$12*F67</f>
        <v>-5.0170315775424634E-2</v>
      </c>
      <c r="Q67" s="76">
        <f t="shared" ref="Q67:Q75" si="13">+C67-15018.5</f>
        <v>42241.196799999998</v>
      </c>
    </row>
    <row r="68" spans="1:17" s="74" customFormat="1" x14ac:dyDescent="0.2">
      <c r="A68" s="77" t="s">
        <v>256</v>
      </c>
      <c r="B68" s="78" t="s">
        <v>51</v>
      </c>
      <c r="C68" s="79">
        <v>57260.748899999999</v>
      </c>
      <c r="D68" s="79">
        <v>5.0000000000000001E-4</v>
      </c>
      <c r="E68" s="38">
        <f t="shared" si="10"/>
        <v>33399.930971273861</v>
      </c>
      <c r="F68" s="74">
        <f t="shared" si="4"/>
        <v>33400</v>
      </c>
      <c r="G68" s="74">
        <f t="shared" si="11"/>
        <v>-4.8360000000684522E-2</v>
      </c>
      <c r="K68" s="75">
        <f>G68</f>
        <v>-4.8360000000684522E-2</v>
      </c>
      <c r="O68" s="74">
        <f t="shared" ca="1" si="12"/>
        <v>-5.0149063562784535E-2</v>
      </c>
      <c r="Q68" s="76">
        <f t="shared" si="13"/>
        <v>42242.248899999999</v>
      </c>
    </row>
    <row r="69" spans="1:17" s="74" customFormat="1" x14ac:dyDescent="0.2">
      <c r="A69" s="77" t="s">
        <v>256</v>
      </c>
      <c r="B69" s="78" t="s">
        <v>51</v>
      </c>
      <c r="C69" s="79">
        <v>57267.7549</v>
      </c>
      <c r="D69" s="79">
        <v>5.0000000000000001E-4</v>
      </c>
      <c r="E69" s="38">
        <f t="shared" si="10"/>
        <v>33409.931286727719</v>
      </c>
      <c r="F69" s="74">
        <f t="shared" si="4"/>
        <v>33410</v>
      </c>
      <c r="G69" s="74">
        <f t="shared" si="11"/>
        <v>-4.8138999998627696E-2</v>
      </c>
      <c r="K69" s="75">
        <f>G69</f>
        <v>-4.8138999998627696E-2</v>
      </c>
      <c r="O69" s="74">
        <f t="shared" ca="1" si="12"/>
        <v>-5.000738214518391E-2</v>
      </c>
      <c r="Q69" s="76">
        <f t="shared" si="13"/>
        <v>42249.2549</v>
      </c>
    </row>
    <row r="70" spans="1:17" s="74" customFormat="1" x14ac:dyDescent="0.2">
      <c r="A70" s="77" t="s">
        <v>256</v>
      </c>
      <c r="B70" s="78" t="s">
        <v>51</v>
      </c>
      <c r="C70" s="79">
        <v>57272.659800000001</v>
      </c>
      <c r="D70" s="79">
        <v>2.2000000000000001E-3</v>
      </c>
      <c r="E70" s="38">
        <f t="shared" si="10"/>
        <v>33416.932506720528</v>
      </c>
      <c r="F70" s="74">
        <f t="shared" si="4"/>
        <v>33417</v>
      </c>
      <c r="G70" s="74">
        <f t="shared" si="11"/>
        <v>-4.728429999522632E-2</v>
      </c>
      <c r="K70" s="75">
        <f>G70</f>
        <v>-4.728429999522632E-2</v>
      </c>
      <c r="O70" s="74">
        <f t="shared" ca="1" si="12"/>
        <v>-4.9908205152863427E-2</v>
      </c>
      <c r="Q70" s="76">
        <f t="shared" si="13"/>
        <v>42254.159800000001</v>
      </c>
    </row>
    <row r="71" spans="1:17" s="74" customFormat="1" x14ac:dyDescent="0.2">
      <c r="A71" s="77" t="s">
        <v>256</v>
      </c>
      <c r="B71" s="78" t="s">
        <v>35</v>
      </c>
      <c r="C71" s="79">
        <v>57275.809800000003</v>
      </c>
      <c r="D71" s="79">
        <v>4.0000000000000002E-4</v>
      </c>
      <c r="E71" s="38">
        <f t="shared" si="10"/>
        <v>33421.428794713625</v>
      </c>
      <c r="F71" s="74">
        <f t="shared" si="4"/>
        <v>33421.5</v>
      </c>
      <c r="G71" s="74">
        <f t="shared" si="11"/>
        <v>-4.9884849999216385E-2</v>
      </c>
      <c r="K71" s="75">
        <f>G71</f>
        <v>-4.9884849999216385E-2</v>
      </c>
      <c r="O71" s="74">
        <f t="shared" ca="1" si="12"/>
        <v>-4.9844448514943129E-2</v>
      </c>
      <c r="Q71" s="76">
        <f t="shared" si="13"/>
        <v>42257.309800000003</v>
      </c>
    </row>
    <row r="72" spans="1:17" s="74" customFormat="1" x14ac:dyDescent="0.2">
      <c r="A72" s="77" t="s">
        <v>256</v>
      </c>
      <c r="B72" s="78" t="s">
        <v>51</v>
      </c>
      <c r="C72" s="79">
        <v>57276.863299999997</v>
      </c>
      <c r="D72" s="79">
        <v>4.0000000000000002E-4</v>
      </c>
      <c r="E72" s="38">
        <f t="shared" si="10"/>
        <v>33422.932553253529</v>
      </c>
      <c r="F72" s="74">
        <f t="shared" si="4"/>
        <v>33423</v>
      </c>
      <c r="G72" s="74">
        <f t="shared" si="11"/>
        <v>-4.7251700001652353E-2</v>
      </c>
      <c r="K72" s="75">
        <f>G72</f>
        <v>-4.7251700001652353E-2</v>
      </c>
      <c r="O72" s="74">
        <f t="shared" ca="1" si="12"/>
        <v>-4.982319630230303E-2</v>
      </c>
      <c r="Q72" s="76">
        <f t="shared" si="13"/>
        <v>42258.363299999997</v>
      </c>
    </row>
    <row r="73" spans="1:17" s="74" customFormat="1" x14ac:dyDescent="0.2">
      <c r="A73" s="77" t="s">
        <v>256</v>
      </c>
      <c r="B73" s="78" t="s">
        <v>51</v>
      </c>
      <c r="C73" s="79">
        <v>57283.867700000003</v>
      </c>
      <c r="D73" s="79">
        <v>4.0000000000000002E-4</v>
      </c>
      <c r="E73" s="38">
        <f t="shared" si="10"/>
        <v>33432.930584878573</v>
      </c>
      <c r="F73" s="74">
        <f t="shared" si="4"/>
        <v>33433</v>
      </c>
      <c r="G73" s="74">
        <f t="shared" si="11"/>
        <v>-4.8630699995555915E-2</v>
      </c>
      <c r="K73" s="75">
        <f>G73</f>
        <v>-4.8630699995555915E-2</v>
      </c>
      <c r="O73" s="74">
        <f t="shared" ca="1" si="12"/>
        <v>-4.9681514884702405E-2</v>
      </c>
      <c r="Q73" s="76">
        <f t="shared" si="13"/>
        <v>42265.367700000003</v>
      </c>
    </row>
    <row r="74" spans="1:17" s="74" customFormat="1" x14ac:dyDescent="0.2">
      <c r="A74" s="69" t="s">
        <v>0</v>
      </c>
      <c r="B74" s="70" t="s">
        <v>51</v>
      </c>
      <c r="C74" s="71">
        <v>57989.3658</v>
      </c>
      <c r="D74" s="71">
        <v>2.0999999999999999E-3</v>
      </c>
      <c r="E74" s="38">
        <f t="shared" si="10"/>
        <v>34439.953643984489</v>
      </c>
      <c r="F74" s="74">
        <f t="shared" si="4"/>
        <v>34440</v>
      </c>
      <c r="G74" s="74">
        <f t="shared" si="11"/>
        <v>-3.2476000000315253E-2</v>
      </c>
      <c r="K74" s="75">
        <f>G74</f>
        <v>-3.2476000000315253E-2</v>
      </c>
      <c r="O74" s="74">
        <f t="shared" ca="1" si="12"/>
        <v>-3.5414196132316722E-2</v>
      </c>
      <c r="Q74" s="76">
        <f t="shared" si="13"/>
        <v>42970.8658</v>
      </c>
    </row>
    <row r="75" spans="1:17" s="74" customFormat="1" x14ac:dyDescent="0.2">
      <c r="A75" s="69" t="s">
        <v>0</v>
      </c>
      <c r="B75" s="70" t="s">
        <v>51</v>
      </c>
      <c r="C75" s="71">
        <v>58018.440999999999</v>
      </c>
      <c r="D75" s="71">
        <v>1.1000000000000001E-3</v>
      </c>
      <c r="E75" s="38">
        <f t="shared" si="10"/>
        <v>34481.455381335894</v>
      </c>
      <c r="F75" s="74">
        <f t="shared" si="4"/>
        <v>34481.5</v>
      </c>
      <c r="G75" s="74">
        <f t="shared" si="11"/>
        <v>-3.1258850001904648E-2</v>
      </c>
      <c r="K75" s="75">
        <f>G75</f>
        <v>-3.1258850001904648E-2</v>
      </c>
      <c r="O75" s="74">
        <f t="shared" ca="1" si="12"/>
        <v>-3.482621824927401E-2</v>
      </c>
      <c r="Q75" s="76">
        <f t="shared" si="13"/>
        <v>42999.940999999999</v>
      </c>
    </row>
    <row r="76" spans="1:17" s="74" customFormat="1" x14ac:dyDescent="0.2">
      <c r="B76" s="75"/>
      <c r="C76" s="73"/>
      <c r="D76" s="73"/>
    </row>
    <row r="77" spans="1:17" s="74" customFormat="1" x14ac:dyDescent="0.2">
      <c r="B77" s="75"/>
      <c r="C77" s="73"/>
      <c r="D77" s="73"/>
    </row>
    <row r="78" spans="1:17" s="74" customFormat="1" x14ac:dyDescent="0.2">
      <c r="B78" s="75"/>
      <c r="C78" s="73"/>
      <c r="D78" s="73"/>
    </row>
    <row r="79" spans="1:17" s="74" customFormat="1" x14ac:dyDescent="0.2">
      <c r="B79" s="75"/>
      <c r="C79" s="73"/>
      <c r="D79" s="73"/>
    </row>
    <row r="80" spans="1:17" s="74" customFormat="1" x14ac:dyDescent="0.2">
      <c r="B80" s="75"/>
    </row>
    <row r="81" spans="2:2" s="74" customFormat="1" x14ac:dyDescent="0.2">
      <c r="B81" s="75"/>
    </row>
    <row r="82" spans="2:2" s="74" customFormat="1" x14ac:dyDescent="0.2">
      <c r="B82" s="75"/>
    </row>
    <row r="83" spans="2:2" s="74" customFormat="1" x14ac:dyDescent="0.2">
      <c r="B83" s="75"/>
    </row>
    <row r="84" spans="2:2" s="74" customFormat="1" x14ac:dyDescent="0.2">
      <c r="B84" s="75"/>
    </row>
    <row r="85" spans="2:2" s="74" customFormat="1" x14ac:dyDescent="0.2">
      <c r="B85" s="75"/>
    </row>
    <row r="86" spans="2:2" s="74" customFormat="1" x14ac:dyDescent="0.2">
      <c r="B86" s="75"/>
    </row>
    <row r="87" spans="2:2" s="74" customFormat="1" x14ac:dyDescent="0.2">
      <c r="B87" s="75"/>
    </row>
    <row r="88" spans="2:2" s="74" customFormat="1" x14ac:dyDescent="0.2">
      <c r="B88" s="75"/>
    </row>
    <row r="89" spans="2:2" s="74" customFormat="1" x14ac:dyDescent="0.2">
      <c r="B89" s="75"/>
    </row>
    <row r="90" spans="2:2" s="74" customFormat="1" x14ac:dyDescent="0.2">
      <c r="B90" s="75"/>
    </row>
    <row r="91" spans="2:2" s="74" customFormat="1" x14ac:dyDescent="0.2">
      <c r="B91" s="75"/>
    </row>
    <row r="92" spans="2:2" s="74" customFormat="1" x14ac:dyDescent="0.2">
      <c r="B92" s="75"/>
    </row>
    <row r="93" spans="2:2" s="74" customFormat="1" x14ac:dyDescent="0.2">
      <c r="B93" s="75"/>
    </row>
  </sheetData>
  <phoneticPr fontId="7" type="noConversion"/>
  <hyperlinks>
    <hyperlink ref="H64027" r:id="rId1" display="http://vsolj.cetus-net.org/bulletin.html"/>
    <hyperlink ref="H64020" r:id="rId2" display="https://www.aavso.org/ejaavso"/>
    <hyperlink ref="I64027" r:id="rId3" display="http://vsolj.cetus-net.org/bulletin.html"/>
    <hyperlink ref="AQ57678" r:id="rId4" display="http://cdsbib.u-strasbg.fr/cgi-bin/cdsbib?1990RMxAA..21..381G"/>
    <hyperlink ref="H64024" r:id="rId5" display="https://www.aavso.org/ejaavso"/>
    <hyperlink ref="AP5042" r:id="rId6" display="http://cdsbib.u-strasbg.fr/cgi-bin/cdsbib?1990RMxAA..21..381G"/>
    <hyperlink ref="AP5045" r:id="rId7" display="http://cdsbib.u-strasbg.fr/cgi-bin/cdsbib?1990RMxAA..21..381G"/>
    <hyperlink ref="AP5043" r:id="rId8" display="http://cdsbib.u-strasbg.fr/cgi-bin/cdsbib?1990RMxAA..21..381G"/>
    <hyperlink ref="AP5027" r:id="rId9" display="http://cdsbib.u-strasbg.fr/cgi-bin/cdsbib?1990RMxAA..21..381G"/>
    <hyperlink ref="AQ5256" r:id="rId10" display="http://cdsbib.u-strasbg.fr/cgi-bin/cdsbib?1990RMxAA..21..381G"/>
    <hyperlink ref="AQ5260" r:id="rId11" display="http://cdsbib.u-strasbg.fr/cgi-bin/cdsbib?1990RMxAA..21..381G"/>
    <hyperlink ref="AQ64940" r:id="rId12" display="http://cdsbib.u-strasbg.fr/cgi-bin/cdsbib?1990RMxAA..21..381G"/>
    <hyperlink ref="I2148" r:id="rId13" display="http://vsolj.cetus-net.org/bulletin.html"/>
    <hyperlink ref="H2148" r:id="rId14" display="http://vsolj.cetus-net.org/bulletin.html"/>
    <hyperlink ref="AQ65" r:id="rId15" display="http://cdsbib.u-strasbg.fr/cgi-bin/cdsbib?1990RMxAA..21..381G"/>
    <hyperlink ref="AQ64" r:id="rId16" display="http://cdsbib.u-strasbg.fr/cgi-bin/cdsbib?1990RMxAA..21..381G"/>
    <hyperlink ref="AP3318" r:id="rId17" display="http://cdsbib.u-strasbg.fr/cgi-bin/cdsbib?1990RMxAA..21..381G"/>
    <hyperlink ref="AP3336" r:id="rId18" display="http://cdsbib.u-strasbg.fr/cgi-bin/cdsbib?1990RMxAA..21..381G"/>
    <hyperlink ref="AP3337" r:id="rId19" display="http://cdsbib.u-strasbg.fr/cgi-bin/cdsbib?1990RMxAA..21..381G"/>
    <hyperlink ref="AP333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  <c r="B1" s="15" t="s">
        <v>37</v>
      </c>
    </row>
    <row r="2" spans="1:4" x14ac:dyDescent="0.2">
      <c r="A2" t="s">
        <v>28</v>
      </c>
    </row>
    <row r="4" spans="1:4" x14ac:dyDescent="0.2">
      <c r="A4" s="8" t="s">
        <v>1</v>
      </c>
      <c r="C4" s="3">
        <v>33861.4954</v>
      </c>
      <c r="D4" s="4">
        <v>0.70057789999999998</v>
      </c>
    </row>
    <row r="6" spans="1:4" x14ac:dyDescent="0.2">
      <c r="A6" s="8" t="s">
        <v>2</v>
      </c>
    </row>
    <row r="7" spans="1:4" x14ac:dyDescent="0.2">
      <c r="A7" t="s">
        <v>3</v>
      </c>
      <c r="C7">
        <f>+C4</f>
        <v>33861.4954</v>
      </c>
    </row>
    <row r="8" spans="1:4" x14ac:dyDescent="0.2">
      <c r="A8" t="s">
        <v>4</v>
      </c>
      <c r="C8">
        <f>+D4</f>
        <v>0.70057789999999998</v>
      </c>
    </row>
    <row r="10" spans="1:4" ht="13.5" thickBot="1" x14ac:dyDescent="0.25">
      <c r="C10" s="7" t="s">
        <v>23</v>
      </c>
      <c r="D10" s="7" t="s">
        <v>24</v>
      </c>
    </row>
    <row r="11" spans="1:4" x14ac:dyDescent="0.2">
      <c r="A11" t="s">
        <v>17</v>
      </c>
      <c r="C11">
        <f>INTERCEPT(G21:G93,F21:F93)</f>
        <v>-1.5682864947380581E-5</v>
      </c>
      <c r="D11" s="6"/>
    </row>
    <row r="12" spans="1:4" x14ac:dyDescent="0.2">
      <c r="A12" t="s">
        <v>18</v>
      </c>
      <c r="C12">
        <f>SLOPE(G21:G93,F21:F93)</f>
        <v>-5.3573961565412496E-6</v>
      </c>
      <c r="D12" s="6"/>
    </row>
    <row r="13" spans="1:4" x14ac:dyDescent="0.2">
      <c r="A13" t="s">
        <v>22</v>
      </c>
      <c r="C13" s="6" t="s">
        <v>15</v>
      </c>
      <c r="D13" s="6"/>
    </row>
    <row r="14" spans="1:4" x14ac:dyDescent="0.2">
      <c r="A14" t="s">
        <v>27</v>
      </c>
    </row>
    <row r="15" spans="1:4" x14ac:dyDescent="0.2">
      <c r="A15" s="5" t="s">
        <v>19</v>
      </c>
      <c r="C15">
        <f>+C7+C11</f>
        <v>33861.495384317132</v>
      </c>
    </row>
    <row r="16" spans="1:4" x14ac:dyDescent="0.2">
      <c r="A16" s="8" t="s">
        <v>5</v>
      </c>
      <c r="C16">
        <f>+C8+C12</f>
        <v>0.70057254260384338</v>
      </c>
    </row>
    <row r="17" spans="1:17" ht="13.5" thickBot="1" x14ac:dyDescent="0.25"/>
    <row r="18" spans="1:17" x14ac:dyDescent="0.2">
      <c r="A18" s="8" t="s">
        <v>6</v>
      </c>
      <c r="C18" s="3">
        <f>+C15</f>
        <v>33861.495384317132</v>
      </c>
      <c r="D18" s="4">
        <f>+C16</f>
        <v>0.70057254260384338</v>
      </c>
    </row>
    <row r="19" spans="1:17" ht="13.5" thickTop="1" x14ac:dyDescent="0.2"/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36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 x14ac:dyDescent="0.2">
      <c r="A21" t="s">
        <v>13</v>
      </c>
      <c r="C21">
        <v>33861.4954</v>
      </c>
      <c r="D21" s="6" t="s">
        <v>15</v>
      </c>
      <c r="E21">
        <f>+(C21-C$7)/C$8</f>
        <v>0</v>
      </c>
      <c r="F21" s="14">
        <v>0</v>
      </c>
      <c r="G21">
        <f>+C21-(C$7+F21*C$8)</f>
        <v>0</v>
      </c>
      <c r="H21">
        <f>+G21</f>
        <v>0</v>
      </c>
      <c r="O21">
        <f>+C$11+C$12*F21</f>
        <v>-1.5682864947380581E-5</v>
      </c>
      <c r="Q21" s="2">
        <f>+C21-15018.5</f>
        <v>18842.9954</v>
      </c>
    </row>
    <row r="22" spans="1:17" x14ac:dyDescent="0.2">
      <c r="A22" t="s">
        <v>33</v>
      </c>
      <c r="C22" s="12">
        <v>52505.479700000004</v>
      </c>
      <c r="D22" s="12">
        <v>1.8E-3</v>
      </c>
      <c r="E22">
        <f>+(C22-C$7)/C$8</f>
        <v>26612.292937016718</v>
      </c>
      <c r="F22">
        <f>ROUND(2*E22,0)/2</f>
        <v>26612.5</v>
      </c>
      <c r="G22">
        <f>+C22-(C$7+F22*C$8)</f>
        <v>-0.14506374999473337</v>
      </c>
      <c r="H22" s="11"/>
      <c r="I22" s="6">
        <f>G22</f>
        <v>-0.14506374999473337</v>
      </c>
      <c r="J22" s="6"/>
      <c r="O22">
        <f>+C$11+C$12*F22</f>
        <v>-0.14258938808090138</v>
      </c>
      <c r="Q22" s="2">
        <f>+C22-15018.5</f>
        <v>37486.979700000004</v>
      </c>
    </row>
    <row r="23" spans="1:17" x14ac:dyDescent="0.2">
      <c r="A23" t="s">
        <v>33</v>
      </c>
      <c r="B23" s="13"/>
      <c r="C23" s="12">
        <v>52621.429499999998</v>
      </c>
      <c r="D23" s="12">
        <v>4.0000000000000001E-3</v>
      </c>
      <c r="E23">
        <f>+(C23-C$7)/C$8</f>
        <v>26777.798871474533</v>
      </c>
      <c r="F23">
        <f>ROUND(2*E23,0)/2</f>
        <v>26778</v>
      </c>
      <c r="G23">
        <f>+C23-(C$7+F23*C$8)</f>
        <v>-0.140906200002064</v>
      </c>
      <c r="H23" s="11"/>
      <c r="I23" s="6">
        <f>G23</f>
        <v>-0.140906200002064</v>
      </c>
      <c r="J23" s="6"/>
      <c r="O23">
        <f>+C$11+C$12*F23</f>
        <v>-0.14347603714480897</v>
      </c>
      <c r="Q23" s="2">
        <f>+C23-15018.5</f>
        <v>37602.929499999998</v>
      </c>
    </row>
    <row r="24" spans="1:17" x14ac:dyDescent="0.2">
      <c r="A24" t="s">
        <v>34</v>
      </c>
      <c r="B24" s="6" t="s">
        <v>35</v>
      </c>
      <c r="C24">
        <v>52555.572999999997</v>
      </c>
      <c r="D24" s="12">
        <v>1E-3</v>
      </c>
      <c r="E24">
        <f>+(C24-C$7)/C$8</f>
        <v>26683.795763468985</v>
      </c>
      <c r="F24">
        <f>ROUND(2*E24,0)/2</f>
        <v>26684</v>
      </c>
      <c r="G24">
        <f>+C24-(C$7+F24*C$8)</f>
        <v>-0.14308359999995446</v>
      </c>
      <c r="I24" s="6">
        <f>G24</f>
        <v>-0.14308359999995446</v>
      </c>
      <c r="O24">
        <f>+C$11+C$12*F24</f>
        <v>-0.14297244190609409</v>
      </c>
      <c r="Q24" s="2">
        <f>+C24-15018.5</f>
        <v>37537.072999999997</v>
      </c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</row>
    <row r="29" spans="1:17" x14ac:dyDescent="0.2">
      <c r="D29" s="6"/>
    </row>
    <row r="30" spans="1:17" x14ac:dyDescent="0.2">
      <c r="D30" s="6"/>
    </row>
    <row r="31" spans="1:17" x14ac:dyDescent="0.2">
      <c r="D31" s="6"/>
    </row>
    <row r="32" spans="1:17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B1" sqref="B1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  <c r="B1" s="15" t="s">
        <v>37</v>
      </c>
    </row>
    <row r="2" spans="1:4" x14ac:dyDescent="0.2">
      <c r="A2" t="s">
        <v>28</v>
      </c>
    </row>
    <row r="4" spans="1:4" x14ac:dyDescent="0.2">
      <c r="A4" s="8" t="s">
        <v>1</v>
      </c>
      <c r="C4" s="3">
        <v>33861.4954</v>
      </c>
      <c r="D4" s="4">
        <v>0.70057789999999998</v>
      </c>
    </row>
    <row r="6" spans="1:4" x14ac:dyDescent="0.2">
      <c r="A6" s="8" t="s">
        <v>2</v>
      </c>
    </row>
    <row r="7" spans="1:4" x14ac:dyDescent="0.2">
      <c r="A7" t="s">
        <v>3</v>
      </c>
      <c r="C7">
        <f>+C4</f>
        <v>33861.4954</v>
      </c>
    </row>
    <row r="8" spans="1:4" x14ac:dyDescent="0.2">
      <c r="A8" t="s">
        <v>4</v>
      </c>
      <c r="C8">
        <f>+D4</f>
        <v>0.70057789999999998</v>
      </c>
    </row>
    <row r="10" spans="1:4" ht="13.5" thickBot="1" x14ac:dyDescent="0.25">
      <c r="C10" s="7" t="s">
        <v>23</v>
      </c>
      <c r="D10" s="7" t="s">
        <v>24</v>
      </c>
    </row>
    <row r="11" spans="1:4" x14ac:dyDescent="0.2">
      <c r="A11" t="s">
        <v>17</v>
      </c>
      <c r="C11">
        <f>INTERCEPT(G21:G93,F21:F93)</f>
        <v>-0.35030174107310386</v>
      </c>
      <c r="D11" s="6"/>
    </row>
    <row r="12" spans="1:4" x14ac:dyDescent="0.2">
      <c r="A12" t="s">
        <v>18</v>
      </c>
      <c r="C12">
        <f>SLOPE(G21:G93,F21:F93)</f>
        <v>7.766025155095224E-6</v>
      </c>
      <c r="D12" s="6"/>
    </row>
    <row r="13" spans="1:4" x14ac:dyDescent="0.2">
      <c r="A13" t="s">
        <v>22</v>
      </c>
      <c r="C13" s="6" t="s">
        <v>15</v>
      </c>
      <c r="D13" s="6"/>
    </row>
    <row r="14" spans="1:4" x14ac:dyDescent="0.2">
      <c r="A14" t="s">
        <v>27</v>
      </c>
    </row>
    <row r="15" spans="1:4" x14ac:dyDescent="0.2">
      <c r="A15" s="5" t="s">
        <v>19</v>
      </c>
      <c r="C15">
        <f>+C7+C11</f>
        <v>33861.145098258923</v>
      </c>
    </row>
    <row r="16" spans="1:4" x14ac:dyDescent="0.2">
      <c r="A16" s="8" t="s">
        <v>5</v>
      </c>
      <c r="C16">
        <f>+C8+C12</f>
        <v>0.70058566602515504</v>
      </c>
    </row>
    <row r="17" spans="1:17" ht="13.5" thickBot="1" x14ac:dyDescent="0.25"/>
    <row r="18" spans="1:17" x14ac:dyDescent="0.2">
      <c r="A18" s="8" t="s">
        <v>6</v>
      </c>
      <c r="C18" s="3">
        <f>+C15</f>
        <v>33861.145098258923</v>
      </c>
      <c r="D18" s="4">
        <f>+C16</f>
        <v>0.70058566602515504</v>
      </c>
    </row>
    <row r="19" spans="1:17" ht="13.5" thickTop="1" x14ac:dyDescent="0.2"/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36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 x14ac:dyDescent="0.2">
      <c r="A21" t="s">
        <v>13</v>
      </c>
      <c r="C21">
        <v>33861.4954</v>
      </c>
      <c r="D21" s="6" t="s">
        <v>15</v>
      </c>
      <c r="E21">
        <f>+(C21-C$7)/C$8</f>
        <v>0</v>
      </c>
      <c r="F21" s="14">
        <v>0.5</v>
      </c>
      <c r="G21">
        <f>+C21-(C$7+F21*C$8)</f>
        <v>-0.35028895000141347</v>
      </c>
      <c r="H21">
        <f>+G21</f>
        <v>-0.35028895000141347</v>
      </c>
      <c r="O21">
        <f>+C$11+C$12*F21</f>
        <v>-0.35029785806052632</v>
      </c>
      <c r="Q21" s="2">
        <f>+C21-15018.5</f>
        <v>18842.9954</v>
      </c>
    </row>
    <row r="22" spans="1:17" x14ac:dyDescent="0.2">
      <c r="A22" t="s">
        <v>33</v>
      </c>
      <c r="C22" s="12">
        <v>52505.479700000004</v>
      </c>
      <c r="D22" s="12">
        <v>1.8E-3</v>
      </c>
      <c r="E22">
        <f>+(C22-C$7)/C$8</f>
        <v>26612.292937016718</v>
      </c>
      <c r="F22">
        <f>ROUND(2*E22,0)/2</f>
        <v>26612.5</v>
      </c>
      <c r="G22">
        <f>+C22-(C$7+F22*C$8)</f>
        <v>-0.14506374999473337</v>
      </c>
      <c r="H22" s="11"/>
      <c r="I22" s="6">
        <f>G22</f>
        <v>-0.14506374999473337</v>
      </c>
      <c r="J22" s="6"/>
      <c r="O22">
        <f>+C$11+C$12*F22</f>
        <v>-0.1436283966331322</v>
      </c>
      <c r="Q22" s="2">
        <f>+C22-15018.5</f>
        <v>37486.979700000004</v>
      </c>
    </row>
    <row r="23" spans="1:17" x14ac:dyDescent="0.2">
      <c r="A23" t="s">
        <v>33</v>
      </c>
      <c r="B23" s="13"/>
      <c r="C23" s="12">
        <v>52621.429499999998</v>
      </c>
      <c r="D23" s="12">
        <v>4.0000000000000001E-3</v>
      </c>
      <c r="E23">
        <f>+(C23-C$7)/C$8</f>
        <v>26777.798871474533</v>
      </c>
      <c r="F23">
        <f>ROUND(2*E23,0)/2</f>
        <v>26778</v>
      </c>
      <c r="G23">
        <f>+C23-(C$7+F23*C$8)</f>
        <v>-0.140906200002064</v>
      </c>
      <c r="H23" s="11"/>
      <c r="I23" s="6">
        <f>G23</f>
        <v>-0.140906200002064</v>
      </c>
      <c r="J23" s="6"/>
      <c r="O23">
        <f>+C$11+C$12*F23</f>
        <v>-0.14234311946996395</v>
      </c>
      <c r="Q23" s="2">
        <f>+C23-15018.5</f>
        <v>37602.929499999998</v>
      </c>
    </row>
    <row r="24" spans="1:17" x14ac:dyDescent="0.2">
      <c r="A24" t="s">
        <v>34</v>
      </c>
      <c r="B24" s="6" t="s">
        <v>35</v>
      </c>
      <c r="C24">
        <v>52555.572999999997</v>
      </c>
      <c r="D24" s="12">
        <v>1E-3</v>
      </c>
      <c r="E24">
        <f>+(C24-C$7)/C$8</f>
        <v>26683.795763468985</v>
      </c>
      <c r="F24">
        <f>ROUND(2*E24,0)/2</f>
        <v>26684</v>
      </c>
      <c r="G24">
        <f>+C24-(C$7+F24*C$8)</f>
        <v>-0.14308359999995446</v>
      </c>
      <c r="I24" s="6">
        <f>G24</f>
        <v>-0.14308359999995446</v>
      </c>
      <c r="O24">
        <f>+C$11+C$12*F24</f>
        <v>-0.1430731258345429</v>
      </c>
      <c r="Q24" s="2">
        <f>+C24-15018.5</f>
        <v>37537.072999999997</v>
      </c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</row>
    <row r="29" spans="1:17" x14ac:dyDescent="0.2">
      <c r="D29" s="6"/>
    </row>
    <row r="30" spans="1:17" x14ac:dyDescent="0.2">
      <c r="D30" s="6"/>
    </row>
    <row r="31" spans="1:17" x14ac:dyDescent="0.2">
      <c r="D31" s="6"/>
    </row>
    <row r="32" spans="1:17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0"/>
  <sheetViews>
    <sheetView topLeftCell="A7" workbookViewId="0">
      <selection activeCell="A36" sqref="A36:C54"/>
    </sheetView>
  </sheetViews>
  <sheetFormatPr defaultRowHeight="12.75" x14ac:dyDescent="0.2"/>
  <cols>
    <col min="1" max="1" width="19.7109375" style="17" customWidth="1"/>
    <col min="2" max="2" width="4.42578125" style="19" customWidth="1"/>
    <col min="3" max="3" width="12.7109375" style="17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7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7" t="s">
        <v>58</v>
      </c>
      <c r="I1" s="48" t="s">
        <v>59</v>
      </c>
      <c r="J1" s="49" t="s">
        <v>60</v>
      </c>
    </row>
    <row r="2" spans="1:16" x14ac:dyDescent="0.2">
      <c r="I2" s="50" t="s">
        <v>61</v>
      </c>
      <c r="J2" s="51" t="s">
        <v>62</v>
      </c>
    </row>
    <row r="3" spans="1:16" x14ac:dyDescent="0.2">
      <c r="A3" s="52" t="s">
        <v>63</v>
      </c>
      <c r="I3" s="50" t="s">
        <v>64</v>
      </c>
      <c r="J3" s="51" t="s">
        <v>65</v>
      </c>
    </row>
    <row r="4" spans="1:16" x14ac:dyDescent="0.2">
      <c r="I4" s="50" t="s">
        <v>66</v>
      </c>
      <c r="J4" s="51" t="s">
        <v>65</v>
      </c>
    </row>
    <row r="5" spans="1:16" ht="13.5" thickBot="1" x14ac:dyDescent="0.25">
      <c r="I5" s="53" t="s">
        <v>67</v>
      </c>
      <c r="J5" s="54" t="s">
        <v>68</v>
      </c>
    </row>
    <row r="10" spans="1:16" ht="13.5" thickBot="1" x14ac:dyDescent="0.25"/>
    <row r="11" spans="1:16" ht="12.75" customHeight="1" thickBot="1" x14ac:dyDescent="0.25">
      <c r="A11" s="17" t="str">
        <f t="shared" ref="A11:A54" si="0">P11</f>
        <v>BAVM 152 </v>
      </c>
      <c r="B11" s="6" t="str">
        <f t="shared" ref="B11:B54" si="1">IF(H11=INT(H11),"I","II")</f>
        <v>I</v>
      </c>
      <c r="C11" s="17">
        <f t="shared" ref="C11:C54" si="2">1*G11</f>
        <v>51780.367899999997</v>
      </c>
      <c r="D11" s="19" t="str">
        <f t="shared" ref="D11:D54" si="3">VLOOKUP(F11,I$1:J$5,2,FALSE)</f>
        <v>vis</v>
      </c>
      <c r="E11" s="55">
        <f>VLOOKUP(C11,Active!C$21:E$973,3,FALSE)</f>
        <v>25577.273419558336</v>
      </c>
      <c r="F11" s="6" t="s">
        <v>67</v>
      </c>
      <c r="G11" s="19" t="str">
        <f t="shared" ref="G11:G54" si="4">MID(I11,3,LEN(I11)-3)</f>
        <v>51780.3679</v>
      </c>
      <c r="H11" s="17">
        <f t="shared" ref="H11:H54" si="5">1*K11</f>
        <v>25577</v>
      </c>
      <c r="I11" s="56" t="s">
        <v>92</v>
      </c>
      <c r="J11" s="57" t="s">
        <v>93</v>
      </c>
      <c r="K11" s="56">
        <v>25577</v>
      </c>
      <c r="L11" s="56" t="s">
        <v>94</v>
      </c>
      <c r="M11" s="57" t="s">
        <v>95</v>
      </c>
      <c r="N11" s="57" t="s">
        <v>67</v>
      </c>
      <c r="O11" s="58" t="s">
        <v>96</v>
      </c>
      <c r="P11" s="59" t="s">
        <v>97</v>
      </c>
    </row>
    <row r="12" spans="1:16" ht="12.75" customHeight="1" thickBot="1" x14ac:dyDescent="0.25">
      <c r="A12" s="17" t="str">
        <f t="shared" si="0"/>
        <v>BAVM 152 </v>
      </c>
      <c r="B12" s="6" t="str">
        <f t="shared" si="1"/>
        <v>I</v>
      </c>
      <c r="C12" s="17">
        <f t="shared" si="2"/>
        <v>51816.444799999997</v>
      </c>
      <c r="D12" s="19" t="str">
        <f t="shared" si="3"/>
        <v>vis</v>
      </c>
      <c r="E12" s="55">
        <f>VLOOKUP(C12,Active!C$21:E$973,3,FALSE)</f>
        <v>25628.769334573641</v>
      </c>
      <c r="F12" s="6" t="s">
        <v>67</v>
      </c>
      <c r="G12" s="19" t="str">
        <f t="shared" si="4"/>
        <v>51816.4448</v>
      </c>
      <c r="H12" s="17">
        <f t="shared" si="5"/>
        <v>25629</v>
      </c>
      <c r="I12" s="56" t="s">
        <v>98</v>
      </c>
      <c r="J12" s="57" t="s">
        <v>99</v>
      </c>
      <c r="K12" s="56">
        <v>25629</v>
      </c>
      <c r="L12" s="56" t="s">
        <v>100</v>
      </c>
      <c r="M12" s="57" t="s">
        <v>95</v>
      </c>
      <c r="N12" s="57" t="s">
        <v>101</v>
      </c>
      <c r="O12" s="58" t="s">
        <v>96</v>
      </c>
      <c r="P12" s="59" t="s">
        <v>97</v>
      </c>
    </row>
    <row r="13" spans="1:16" ht="12.75" customHeight="1" thickBot="1" x14ac:dyDescent="0.25">
      <c r="A13" s="17" t="str">
        <f t="shared" si="0"/>
        <v>BAVM 152 </v>
      </c>
      <c r="B13" s="6" t="str">
        <f t="shared" si="1"/>
        <v>I</v>
      </c>
      <c r="C13" s="17">
        <f t="shared" si="2"/>
        <v>51817.498500000002</v>
      </c>
      <c r="D13" s="19" t="str">
        <f t="shared" si="3"/>
        <v>vis</v>
      </c>
      <c r="E13" s="55">
        <f>VLOOKUP(C13,Active!C$21:E$973,3,FALSE)</f>
        <v>25630.273378592163</v>
      </c>
      <c r="F13" s="6" t="s">
        <v>67</v>
      </c>
      <c r="G13" s="19" t="str">
        <f t="shared" si="4"/>
        <v>51817.4985</v>
      </c>
      <c r="H13" s="17">
        <f t="shared" si="5"/>
        <v>25630</v>
      </c>
      <c r="I13" s="56" t="s">
        <v>102</v>
      </c>
      <c r="J13" s="57" t="s">
        <v>103</v>
      </c>
      <c r="K13" s="56">
        <v>25630</v>
      </c>
      <c r="L13" s="56" t="s">
        <v>104</v>
      </c>
      <c r="M13" s="57" t="s">
        <v>95</v>
      </c>
      <c r="N13" s="57" t="s">
        <v>101</v>
      </c>
      <c r="O13" s="58" t="s">
        <v>96</v>
      </c>
      <c r="P13" s="59" t="s">
        <v>97</v>
      </c>
    </row>
    <row r="14" spans="1:16" ht="12.75" customHeight="1" thickBot="1" x14ac:dyDescent="0.25">
      <c r="A14" s="17" t="str">
        <f t="shared" si="0"/>
        <v>BAVM 152 </v>
      </c>
      <c r="B14" s="6" t="str">
        <f t="shared" si="1"/>
        <v>I</v>
      </c>
      <c r="C14" s="17">
        <f t="shared" si="2"/>
        <v>52085.477099999996</v>
      </c>
      <c r="D14" s="19" t="str">
        <f t="shared" si="3"/>
        <v>vis</v>
      </c>
      <c r="E14" s="55">
        <f>VLOOKUP(C14,Active!C$21:E$973,3,FALSE)</f>
        <v>26012.784160048435</v>
      </c>
      <c r="F14" s="6" t="s">
        <v>67</v>
      </c>
      <c r="G14" s="19" t="str">
        <f t="shared" si="4"/>
        <v>52085.4771</v>
      </c>
      <c r="H14" s="17">
        <f t="shared" si="5"/>
        <v>26013</v>
      </c>
      <c r="I14" s="56" t="s">
        <v>105</v>
      </c>
      <c r="J14" s="57" t="s">
        <v>106</v>
      </c>
      <c r="K14" s="56">
        <v>26013</v>
      </c>
      <c r="L14" s="56" t="s">
        <v>107</v>
      </c>
      <c r="M14" s="57" t="s">
        <v>95</v>
      </c>
      <c r="N14" s="57" t="s">
        <v>101</v>
      </c>
      <c r="O14" s="58" t="s">
        <v>96</v>
      </c>
      <c r="P14" s="59" t="s">
        <v>97</v>
      </c>
    </row>
    <row r="15" spans="1:16" ht="12.75" customHeight="1" thickBot="1" x14ac:dyDescent="0.25">
      <c r="A15" s="17" t="str">
        <f t="shared" si="0"/>
        <v>BAVM 152 </v>
      </c>
      <c r="B15" s="6" t="str">
        <f t="shared" si="1"/>
        <v>I</v>
      </c>
      <c r="C15" s="17">
        <f t="shared" si="2"/>
        <v>52113.499499999998</v>
      </c>
      <c r="D15" s="19" t="str">
        <f t="shared" si="3"/>
        <v>vis</v>
      </c>
      <c r="E15" s="55">
        <f>VLOOKUP(C15,Active!C$21:E$973,3,FALSE)</f>
        <v>26052.78313803504</v>
      </c>
      <c r="F15" s="6" t="s">
        <v>67</v>
      </c>
      <c r="G15" s="19" t="str">
        <f t="shared" si="4"/>
        <v>52113.4995</v>
      </c>
      <c r="H15" s="17">
        <f t="shared" si="5"/>
        <v>26053</v>
      </c>
      <c r="I15" s="56" t="s">
        <v>108</v>
      </c>
      <c r="J15" s="57" t="s">
        <v>109</v>
      </c>
      <c r="K15" s="56">
        <v>26053</v>
      </c>
      <c r="L15" s="56" t="s">
        <v>110</v>
      </c>
      <c r="M15" s="57" t="s">
        <v>95</v>
      </c>
      <c r="N15" s="57" t="s">
        <v>101</v>
      </c>
      <c r="O15" s="58" t="s">
        <v>96</v>
      </c>
      <c r="P15" s="59" t="s">
        <v>97</v>
      </c>
    </row>
    <row r="16" spans="1:16" ht="12.75" customHeight="1" thickBot="1" x14ac:dyDescent="0.25">
      <c r="A16" s="17" t="str">
        <f t="shared" si="0"/>
        <v>BAVM 152 </v>
      </c>
      <c r="B16" s="6" t="str">
        <f t="shared" si="1"/>
        <v>I</v>
      </c>
      <c r="C16" s="17">
        <f t="shared" si="2"/>
        <v>52134.513599999998</v>
      </c>
      <c r="D16" s="19" t="str">
        <f t="shared" si="3"/>
        <v>vis</v>
      </c>
      <c r="E16" s="55">
        <f>VLOOKUP(C16,Active!C$21:E$973,3,FALSE)</f>
        <v>26082.778517563856</v>
      </c>
      <c r="F16" s="6" t="s">
        <v>67</v>
      </c>
      <c r="G16" s="19" t="str">
        <f t="shared" si="4"/>
        <v>52134.5136</v>
      </c>
      <c r="H16" s="17">
        <f t="shared" si="5"/>
        <v>26083</v>
      </c>
      <c r="I16" s="56" t="s">
        <v>111</v>
      </c>
      <c r="J16" s="57" t="s">
        <v>112</v>
      </c>
      <c r="K16" s="56">
        <v>26083</v>
      </c>
      <c r="L16" s="56" t="s">
        <v>113</v>
      </c>
      <c r="M16" s="57" t="s">
        <v>95</v>
      </c>
      <c r="N16" s="57" t="s">
        <v>101</v>
      </c>
      <c r="O16" s="58" t="s">
        <v>96</v>
      </c>
      <c r="P16" s="59" t="s">
        <v>97</v>
      </c>
    </row>
    <row r="17" spans="1:16" ht="12.75" customHeight="1" thickBot="1" x14ac:dyDescent="0.25">
      <c r="A17" s="17" t="str">
        <f t="shared" si="0"/>
        <v>BAVM 152 </v>
      </c>
      <c r="B17" s="6" t="str">
        <f t="shared" si="1"/>
        <v>I</v>
      </c>
      <c r="C17" s="17">
        <f t="shared" si="2"/>
        <v>52194.417800000003</v>
      </c>
      <c r="D17" s="19" t="str">
        <f t="shared" si="3"/>
        <v>vis</v>
      </c>
      <c r="E17" s="55">
        <f>VLOOKUP(C17,Active!C$21:E$973,3,FALSE)</f>
        <v>26168.28535413407</v>
      </c>
      <c r="F17" s="6" t="s">
        <v>67</v>
      </c>
      <c r="G17" s="19" t="str">
        <f t="shared" si="4"/>
        <v>52194.4178</v>
      </c>
      <c r="H17" s="17">
        <f t="shared" si="5"/>
        <v>26168</v>
      </c>
      <c r="I17" s="56" t="s">
        <v>114</v>
      </c>
      <c r="J17" s="57" t="s">
        <v>115</v>
      </c>
      <c r="K17" s="56">
        <v>26168</v>
      </c>
      <c r="L17" s="56" t="s">
        <v>116</v>
      </c>
      <c r="M17" s="57" t="s">
        <v>95</v>
      </c>
      <c r="N17" s="57" t="s">
        <v>101</v>
      </c>
      <c r="O17" s="58" t="s">
        <v>96</v>
      </c>
      <c r="P17" s="59" t="s">
        <v>97</v>
      </c>
    </row>
    <row r="18" spans="1:16" ht="12.75" customHeight="1" thickBot="1" x14ac:dyDescent="0.25">
      <c r="A18" s="17" t="str">
        <f t="shared" si="0"/>
        <v>BAVM 152 </v>
      </c>
      <c r="B18" s="6" t="str">
        <f t="shared" si="1"/>
        <v>I</v>
      </c>
      <c r="C18" s="17">
        <f t="shared" si="2"/>
        <v>52228.395499999999</v>
      </c>
      <c r="D18" s="19" t="str">
        <f t="shared" si="3"/>
        <v>vis</v>
      </c>
      <c r="E18" s="55">
        <f>VLOOKUP(C18,Active!C$21:E$973,3,FALSE)</f>
        <v>26216.784885735047</v>
      </c>
      <c r="F18" s="6" t="s">
        <v>67</v>
      </c>
      <c r="G18" s="19" t="str">
        <f t="shared" si="4"/>
        <v>52228.3955</v>
      </c>
      <c r="H18" s="17">
        <f t="shared" si="5"/>
        <v>26217</v>
      </c>
      <c r="I18" s="56" t="s">
        <v>123</v>
      </c>
      <c r="J18" s="57" t="s">
        <v>124</v>
      </c>
      <c r="K18" s="56">
        <v>26217</v>
      </c>
      <c r="L18" s="56" t="s">
        <v>125</v>
      </c>
      <c r="M18" s="57" t="s">
        <v>95</v>
      </c>
      <c r="N18" s="57" t="s">
        <v>101</v>
      </c>
      <c r="O18" s="58" t="s">
        <v>96</v>
      </c>
      <c r="P18" s="59" t="s">
        <v>97</v>
      </c>
    </row>
    <row r="19" spans="1:16" ht="12.75" customHeight="1" thickBot="1" x14ac:dyDescent="0.25">
      <c r="A19" s="17" t="str">
        <f t="shared" si="0"/>
        <v>BAVM 158 </v>
      </c>
      <c r="B19" s="6" t="str">
        <f t="shared" si="1"/>
        <v>I</v>
      </c>
      <c r="C19" s="17">
        <f t="shared" si="2"/>
        <v>52505.479700000004</v>
      </c>
      <c r="D19" s="19" t="str">
        <f t="shared" si="3"/>
        <v>vis</v>
      </c>
      <c r="E19" s="55">
        <f>VLOOKUP(C19,Active!C$21:E$973,3,FALSE)</f>
        <v>26612.292937016718</v>
      </c>
      <c r="F19" s="6" t="s">
        <v>67</v>
      </c>
      <c r="G19" s="19" t="str">
        <f t="shared" si="4"/>
        <v>52505.4797</v>
      </c>
      <c r="H19" s="17">
        <f t="shared" si="5"/>
        <v>26612</v>
      </c>
      <c r="I19" s="56" t="s">
        <v>129</v>
      </c>
      <c r="J19" s="57" t="s">
        <v>130</v>
      </c>
      <c r="K19" s="56">
        <v>26612</v>
      </c>
      <c r="L19" s="56" t="s">
        <v>131</v>
      </c>
      <c r="M19" s="57" t="s">
        <v>95</v>
      </c>
      <c r="N19" s="57" t="s">
        <v>132</v>
      </c>
      <c r="O19" s="58" t="s">
        <v>96</v>
      </c>
      <c r="P19" s="59" t="s">
        <v>133</v>
      </c>
    </row>
    <row r="20" spans="1:16" ht="12.75" customHeight="1" thickBot="1" x14ac:dyDescent="0.25">
      <c r="A20" s="17" t="str">
        <f t="shared" si="0"/>
        <v>IBVS 5378 </v>
      </c>
      <c r="B20" s="6" t="str">
        <f t="shared" si="1"/>
        <v>I</v>
      </c>
      <c r="C20" s="17">
        <f t="shared" si="2"/>
        <v>52555.572999999997</v>
      </c>
      <c r="D20" s="19" t="str">
        <f t="shared" si="3"/>
        <v>vis</v>
      </c>
      <c r="E20" s="55">
        <f>VLOOKUP(C20,Active!C$21:E$973,3,FALSE)</f>
        <v>26683.795763468985</v>
      </c>
      <c r="F20" s="6" t="s">
        <v>67</v>
      </c>
      <c r="G20" s="19" t="str">
        <f t="shared" si="4"/>
        <v>52555.573</v>
      </c>
      <c r="H20" s="17">
        <f t="shared" si="5"/>
        <v>26684</v>
      </c>
      <c r="I20" s="56" t="s">
        <v>134</v>
      </c>
      <c r="J20" s="57" t="s">
        <v>135</v>
      </c>
      <c r="K20" s="56" t="s">
        <v>136</v>
      </c>
      <c r="L20" s="56" t="s">
        <v>137</v>
      </c>
      <c r="M20" s="57" t="s">
        <v>95</v>
      </c>
      <c r="N20" s="57" t="s">
        <v>120</v>
      </c>
      <c r="O20" s="58" t="s">
        <v>138</v>
      </c>
      <c r="P20" s="59" t="s">
        <v>139</v>
      </c>
    </row>
    <row r="21" spans="1:16" ht="12.75" customHeight="1" thickBot="1" x14ac:dyDescent="0.25">
      <c r="A21" s="17" t="str">
        <f t="shared" si="0"/>
        <v>BAVM 158 </v>
      </c>
      <c r="B21" s="6" t="str">
        <f t="shared" si="1"/>
        <v>I</v>
      </c>
      <c r="C21" s="17">
        <f t="shared" si="2"/>
        <v>52621.429499999998</v>
      </c>
      <c r="D21" s="19" t="str">
        <f t="shared" si="3"/>
        <v>vis</v>
      </c>
      <c r="E21" s="55">
        <f>VLOOKUP(C21,Active!C$21:E$973,3,FALSE)</f>
        <v>26777.798871474533</v>
      </c>
      <c r="F21" s="6" t="s">
        <v>67</v>
      </c>
      <c r="G21" s="19" t="str">
        <f t="shared" si="4"/>
        <v>52621.4295</v>
      </c>
      <c r="H21" s="17">
        <f t="shared" si="5"/>
        <v>26778</v>
      </c>
      <c r="I21" s="56" t="s">
        <v>140</v>
      </c>
      <c r="J21" s="57" t="s">
        <v>141</v>
      </c>
      <c r="K21" s="56" t="s">
        <v>142</v>
      </c>
      <c r="L21" s="56" t="s">
        <v>143</v>
      </c>
      <c r="M21" s="57" t="s">
        <v>95</v>
      </c>
      <c r="N21" s="57" t="s">
        <v>132</v>
      </c>
      <c r="O21" s="58" t="s">
        <v>96</v>
      </c>
      <c r="P21" s="59" t="s">
        <v>133</v>
      </c>
    </row>
    <row r="22" spans="1:16" ht="12.75" customHeight="1" thickBot="1" x14ac:dyDescent="0.25">
      <c r="A22" s="17" t="str">
        <f t="shared" si="0"/>
        <v>BAVM 172 </v>
      </c>
      <c r="B22" s="6" t="str">
        <f t="shared" si="1"/>
        <v>I</v>
      </c>
      <c r="C22" s="17">
        <f t="shared" si="2"/>
        <v>52855.425799999997</v>
      </c>
      <c r="D22" s="19" t="str">
        <f t="shared" si="3"/>
        <v>vis</v>
      </c>
      <c r="E22" s="55">
        <f>VLOOKUP(C22,Active!C$21:E$973,3,FALSE)</f>
        <v>27111.803555321967</v>
      </c>
      <c r="F22" s="6" t="s">
        <v>67</v>
      </c>
      <c r="G22" s="19" t="str">
        <f t="shared" si="4"/>
        <v>52855.4258</v>
      </c>
      <c r="H22" s="17">
        <f t="shared" si="5"/>
        <v>27112</v>
      </c>
      <c r="I22" s="56" t="s">
        <v>144</v>
      </c>
      <c r="J22" s="57" t="s">
        <v>145</v>
      </c>
      <c r="K22" s="56" t="s">
        <v>146</v>
      </c>
      <c r="L22" s="56" t="s">
        <v>147</v>
      </c>
      <c r="M22" s="57" t="s">
        <v>95</v>
      </c>
      <c r="N22" s="57" t="s">
        <v>132</v>
      </c>
      <c r="O22" s="58" t="s">
        <v>96</v>
      </c>
      <c r="P22" s="59" t="s">
        <v>148</v>
      </c>
    </row>
    <row r="23" spans="1:16" ht="12.75" customHeight="1" thickBot="1" x14ac:dyDescent="0.25">
      <c r="A23" s="17" t="str">
        <f t="shared" si="0"/>
        <v>BAVM 172 </v>
      </c>
      <c r="B23" s="6" t="str">
        <f t="shared" si="1"/>
        <v>I</v>
      </c>
      <c r="C23" s="17">
        <f t="shared" si="2"/>
        <v>52875.3891</v>
      </c>
      <c r="D23" s="19" t="str">
        <f t="shared" si="3"/>
        <v>vis</v>
      </c>
      <c r="E23" s="55">
        <f>VLOOKUP(C23,Active!C$21:E$973,3,FALSE)</f>
        <v>27140.29903027201</v>
      </c>
      <c r="F23" s="6" t="s">
        <v>67</v>
      </c>
      <c r="G23" s="19" t="str">
        <f t="shared" si="4"/>
        <v>52875.3891</v>
      </c>
      <c r="H23" s="17">
        <f t="shared" si="5"/>
        <v>27140</v>
      </c>
      <c r="I23" s="56" t="s">
        <v>149</v>
      </c>
      <c r="J23" s="57" t="s">
        <v>150</v>
      </c>
      <c r="K23" s="56" t="s">
        <v>151</v>
      </c>
      <c r="L23" s="56" t="s">
        <v>152</v>
      </c>
      <c r="M23" s="57" t="s">
        <v>95</v>
      </c>
      <c r="N23" s="57" t="s">
        <v>132</v>
      </c>
      <c r="O23" s="58" t="s">
        <v>96</v>
      </c>
      <c r="P23" s="59" t="s">
        <v>148</v>
      </c>
    </row>
    <row r="24" spans="1:16" ht="12.75" customHeight="1" thickBot="1" x14ac:dyDescent="0.25">
      <c r="A24" s="17" t="str">
        <f t="shared" si="0"/>
        <v>BAVM 172 </v>
      </c>
      <c r="B24" s="6" t="str">
        <f t="shared" si="1"/>
        <v>I</v>
      </c>
      <c r="C24" s="17">
        <f t="shared" si="2"/>
        <v>52878.549899999998</v>
      </c>
      <c r="D24" s="19" t="str">
        <f t="shared" si="3"/>
        <v>vis</v>
      </c>
      <c r="E24" s="55">
        <f>VLOOKUP(C24,Active!C$21:E$973,3,FALSE)</f>
        <v>27144.810734109655</v>
      </c>
      <c r="F24" s="6" t="s">
        <v>67</v>
      </c>
      <c r="G24" s="19" t="str">
        <f t="shared" si="4"/>
        <v>52878.5499</v>
      </c>
      <c r="H24" s="17">
        <f t="shared" si="5"/>
        <v>27145</v>
      </c>
      <c r="I24" s="56" t="s">
        <v>153</v>
      </c>
      <c r="J24" s="57" t="s">
        <v>154</v>
      </c>
      <c r="K24" s="56" t="s">
        <v>155</v>
      </c>
      <c r="L24" s="56" t="s">
        <v>156</v>
      </c>
      <c r="M24" s="57" t="s">
        <v>95</v>
      </c>
      <c r="N24" s="57" t="s">
        <v>132</v>
      </c>
      <c r="O24" s="58" t="s">
        <v>96</v>
      </c>
      <c r="P24" s="59" t="s">
        <v>148</v>
      </c>
    </row>
    <row r="25" spans="1:16" ht="12.75" customHeight="1" thickBot="1" x14ac:dyDescent="0.25">
      <c r="A25" s="17" t="str">
        <f t="shared" si="0"/>
        <v>IBVS 5602 </v>
      </c>
      <c r="B25" s="6" t="str">
        <f t="shared" si="1"/>
        <v>I</v>
      </c>
      <c r="C25" s="17">
        <f t="shared" si="2"/>
        <v>53166.834900000002</v>
      </c>
      <c r="D25" s="19" t="str">
        <f t="shared" si="3"/>
        <v>vis</v>
      </c>
      <c r="E25" s="55">
        <f>VLOOKUP(C25,Active!C$21:E$973,3,FALSE)</f>
        <v>27556.306729058972</v>
      </c>
      <c r="F25" s="6" t="s">
        <v>67</v>
      </c>
      <c r="G25" s="19" t="str">
        <f t="shared" si="4"/>
        <v>53166.8349</v>
      </c>
      <c r="H25" s="17">
        <f t="shared" si="5"/>
        <v>27556</v>
      </c>
      <c r="I25" s="56" t="s">
        <v>157</v>
      </c>
      <c r="J25" s="57" t="s">
        <v>158</v>
      </c>
      <c r="K25" s="56" t="s">
        <v>159</v>
      </c>
      <c r="L25" s="56" t="s">
        <v>160</v>
      </c>
      <c r="M25" s="57" t="s">
        <v>95</v>
      </c>
      <c r="N25" s="57" t="s">
        <v>120</v>
      </c>
      <c r="O25" s="58" t="s">
        <v>161</v>
      </c>
      <c r="P25" s="59" t="s">
        <v>162</v>
      </c>
    </row>
    <row r="26" spans="1:16" ht="12.75" customHeight="1" thickBot="1" x14ac:dyDescent="0.25">
      <c r="A26" s="17" t="str">
        <f t="shared" si="0"/>
        <v>BAVM 173 </v>
      </c>
      <c r="B26" s="6" t="str">
        <f t="shared" si="1"/>
        <v>I</v>
      </c>
      <c r="C26" s="17">
        <f t="shared" si="2"/>
        <v>53233.3894</v>
      </c>
      <c r="D26" s="19" t="str">
        <f t="shared" si="3"/>
        <v>vis</v>
      </c>
      <c r="E26" s="55">
        <f>VLOOKUP(C26,Active!C$21:E$973,3,FALSE)</f>
        <v>27651.306157388066</v>
      </c>
      <c r="F26" s="6" t="s">
        <v>67</v>
      </c>
      <c r="G26" s="19" t="str">
        <f t="shared" si="4"/>
        <v>53233.3894</v>
      </c>
      <c r="H26" s="17">
        <f t="shared" si="5"/>
        <v>27651</v>
      </c>
      <c r="I26" s="56" t="s">
        <v>163</v>
      </c>
      <c r="J26" s="57" t="s">
        <v>164</v>
      </c>
      <c r="K26" s="56" t="s">
        <v>165</v>
      </c>
      <c r="L26" s="56" t="s">
        <v>166</v>
      </c>
      <c r="M26" s="57" t="s">
        <v>95</v>
      </c>
      <c r="N26" s="57" t="s">
        <v>132</v>
      </c>
      <c r="O26" s="58" t="s">
        <v>96</v>
      </c>
      <c r="P26" s="59" t="s">
        <v>167</v>
      </c>
    </row>
    <row r="27" spans="1:16" ht="12.75" customHeight="1" thickBot="1" x14ac:dyDescent="0.25">
      <c r="A27" s="17" t="str">
        <f t="shared" si="0"/>
        <v>BAVM 173 </v>
      </c>
      <c r="B27" s="6" t="str">
        <f t="shared" si="1"/>
        <v>I</v>
      </c>
      <c r="C27" s="17">
        <f t="shared" si="2"/>
        <v>53242.494299999998</v>
      </c>
      <c r="D27" s="19" t="str">
        <f t="shared" si="3"/>
        <v>vis</v>
      </c>
      <c r="E27" s="55">
        <f>VLOOKUP(C27,Active!C$21:E$973,3,FALSE)</f>
        <v>27664.302428038336</v>
      </c>
      <c r="F27" s="6" t="s">
        <v>67</v>
      </c>
      <c r="G27" s="19" t="str">
        <f t="shared" si="4"/>
        <v>53242.4943</v>
      </c>
      <c r="H27" s="17">
        <f t="shared" si="5"/>
        <v>27664</v>
      </c>
      <c r="I27" s="56" t="s">
        <v>168</v>
      </c>
      <c r="J27" s="57" t="s">
        <v>169</v>
      </c>
      <c r="K27" s="56" t="s">
        <v>170</v>
      </c>
      <c r="L27" s="56" t="s">
        <v>171</v>
      </c>
      <c r="M27" s="57" t="s">
        <v>95</v>
      </c>
      <c r="N27" s="57" t="s">
        <v>132</v>
      </c>
      <c r="O27" s="58" t="s">
        <v>96</v>
      </c>
      <c r="P27" s="59" t="s">
        <v>167</v>
      </c>
    </row>
    <row r="28" spans="1:16" ht="12.75" customHeight="1" thickBot="1" x14ac:dyDescent="0.25">
      <c r="A28" s="17" t="str">
        <f t="shared" si="0"/>
        <v>BAVM 173 </v>
      </c>
      <c r="B28" s="6" t="str">
        <f t="shared" si="1"/>
        <v>I</v>
      </c>
      <c r="C28" s="17">
        <f t="shared" si="2"/>
        <v>53250.553500000002</v>
      </c>
      <c r="D28" s="19" t="str">
        <f t="shared" si="3"/>
        <v>vis</v>
      </c>
      <c r="E28" s="55">
        <f>VLOOKUP(C28,Active!C$21:E$973,3,FALSE)</f>
        <v>27675.806073814209</v>
      </c>
      <c r="F28" s="6" t="s">
        <v>67</v>
      </c>
      <c r="G28" s="19" t="str">
        <f t="shared" si="4"/>
        <v>53250.5535</v>
      </c>
      <c r="H28" s="17">
        <f t="shared" si="5"/>
        <v>27676</v>
      </c>
      <c r="I28" s="56" t="s">
        <v>172</v>
      </c>
      <c r="J28" s="57" t="s">
        <v>173</v>
      </c>
      <c r="K28" s="56" t="s">
        <v>174</v>
      </c>
      <c r="L28" s="56" t="s">
        <v>175</v>
      </c>
      <c r="M28" s="57" t="s">
        <v>95</v>
      </c>
      <c r="N28" s="57" t="s">
        <v>132</v>
      </c>
      <c r="O28" s="58" t="s">
        <v>96</v>
      </c>
      <c r="P28" s="59" t="s">
        <v>167</v>
      </c>
    </row>
    <row r="29" spans="1:16" ht="12.75" customHeight="1" thickBot="1" x14ac:dyDescent="0.25">
      <c r="A29" s="17" t="str">
        <f t="shared" si="0"/>
        <v>BAVM 173 </v>
      </c>
      <c r="B29" s="6" t="str">
        <f t="shared" si="1"/>
        <v>I</v>
      </c>
      <c r="C29" s="17">
        <f t="shared" si="2"/>
        <v>53256.5101</v>
      </c>
      <c r="D29" s="19" t="str">
        <f t="shared" si="3"/>
        <v>vis</v>
      </c>
      <c r="E29" s="55">
        <f>VLOOKUP(C29,Active!C$21:E$973,3,FALSE)</f>
        <v>27684.308483039502</v>
      </c>
      <c r="F29" s="6" t="s">
        <v>67</v>
      </c>
      <c r="G29" s="19" t="str">
        <f t="shared" si="4"/>
        <v>53256.5101</v>
      </c>
      <c r="H29" s="17">
        <f t="shared" si="5"/>
        <v>27684</v>
      </c>
      <c r="I29" s="56" t="s">
        <v>176</v>
      </c>
      <c r="J29" s="57" t="s">
        <v>177</v>
      </c>
      <c r="K29" s="56" t="s">
        <v>178</v>
      </c>
      <c r="L29" s="56" t="s">
        <v>179</v>
      </c>
      <c r="M29" s="57" t="s">
        <v>95</v>
      </c>
      <c r="N29" s="57" t="s">
        <v>132</v>
      </c>
      <c r="O29" s="58" t="s">
        <v>96</v>
      </c>
      <c r="P29" s="59" t="s">
        <v>167</v>
      </c>
    </row>
    <row r="30" spans="1:16" ht="12.75" customHeight="1" thickBot="1" x14ac:dyDescent="0.25">
      <c r="A30" s="17" t="str">
        <f t="shared" si="0"/>
        <v>BAVM 178 </v>
      </c>
      <c r="B30" s="6" t="str">
        <f t="shared" si="1"/>
        <v>I</v>
      </c>
      <c r="C30" s="17">
        <f t="shared" si="2"/>
        <v>53653.3969</v>
      </c>
      <c r="D30" s="19" t="str">
        <f t="shared" si="3"/>
        <v>vis</v>
      </c>
      <c r="E30" s="55">
        <f>VLOOKUP(C30,Active!C$21:E$973,3,FALSE)</f>
        <v>28250.821928582103</v>
      </c>
      <c r="F30" s="6" t="s">
        <v>67</v>
      </c>
      <c r="G30" s="19" t="str">
        <f t="shared" si="4"/>
        <v>53653.3969</v>
      </c>
      <c r="H30" s="17">
        <f t="shared" si="5"/>
        <v>28251</v>
      </c>
      <c r="I30" s="56" t="s">
        <v>180</v>
      </c>
      <c r="J30" s="57" t="s">
        <v>181</v>
      </c>
      <c r="K30" s="56" t="s">
        <v>182</v>
      </c>
      <c r="L30" s="56" t="s">
        <v>183</v>
      </c>
      <c r="M30" s="57" t="s">
        <v>184</v>
      </c>
      <c r="N30" s="57" t="s">
        <v>132</v>
      </c>
      <c r="O30" s="58" t="s">
        <v>185</v>
      </c>
      <c r="P30" s="59" t="s">
        <v>186</v>
      </c>
    </row>
    <row r="31" spans="1:16" ht="12.75" customHeight="1" thickBot="1" x14ac:dyDescent="0.25">
      <c r="A31" s="17" t="str">
        <f t="shared" si="0"/>
        <v>IBVS 5820 </v>
      </c>
      <c r="B31" s="6" t="str">
        <f t="shared" si="1"/>
        <v>I</v>
      </c>
      <c r="C31" s="17">
        <f t="shared" si="2"/>
        <v>54403.731899999999</v>
      </c>
      <c r="D31" s="19" t="str">
        <f t="shared" si="3"/>
        <v>vis</v>
      </c>
      <c r="E31" s="55">
        <f>VLOOKUP(C31,Active!C$21:E$973,3,FALSE)</f>
        <v>29321.844865503179</v>
      </c>
      <c r="F31" s="6" t="s">
        <v>67</v>
      </c>
      <c r="G31" s="19" t="str">
        <f t="shared" si="4"/>
        <v>54403.7319</v>
      </c>
      <c r="H31" s="17">
        <f t="shared" si="5"/>
        <v>29322</v>
      </c>
      <c r="I31" s="56" t="s">
        <v>187</v>
      </c>
      <c r="J31" s="57" t="s">
        <v>188</v>
      </c>
      <c r="K31" s="56" t="s">
        <v>189</v>
      </c>
      <c r="L31" s="56" t="s">
        <v>190</v>
      </c>
      <c r="M31" s="57" t="s">
        <v>184</v>
      </c>
      <c r="N31" s="57" t="s">
        <v>191</v>
      </c>
      <c r="O31" s="58" t="s">
        <v>161</v>
      </c>
      <c r="P31" s="59" t="s">
        <v>192</v>
      </c>
    </row>
    <row r="32" spans="1:16" ht="12.75" customHeight="1" thickBot="1" x14ac:dyDescent="0.25">
      <c r="A32" s="17" t="str">
        <f t="shared" si="0"/>
        <v>BAVM 215 </v>
      </c>
      <c r="B32" s="6" t="str">
        <f t="shared" si="1"/>
        <v>II</v>
      </c>
      <c r="C32" s="17">
        <f t="shared" si="2"/>
        <v>55463.377099999998</v>
      </c>
      <c r="D32" s="19" t="str">
        <f t="shared" si="3"/>
        <v>vis</v>
      </c>
      <c r="E32" s="55">
        <f>VLOOKUP(C32,Active!C$21:E$973,3,FALSE)</f>
        <v>30834.375020964831</v>
      </c>
      <c r="F32" s="6" t="s">
        <v>67</v>
      </c>
      <c r="G32" s="19" t="str">
        <f t="shared" si="4"/>
        <v>55463.3771</v>
      </c>
      <c r="H32" s="17">
        <f t="shared" si="5"/>
        <v>30834.5</v>
      </c>
      <c r="I32" s="56" t="s">
        <v>224</v>
      </c>
      <c r="J32" s="57" t="s">
        <v>225</v>
      </c>
      <c r="K32" s="56" t="s">
        <v>226</v>
      </c>
      <c r="L32" s="56" t="s">
        <v>227</v>
      </c>
      <c r="M32" s="57" t="s">
        <v>184</v>
      </c>
      <c r="N32" s="57" t="s">
        <v>132</v>
      </c>
      <c r="O32" s="58" t="s">
        <v>96</v>
      </c>
      <c r="P32" s="59" t="s">
        <v>228</v>
      </c>
    </row>
    <row r="33" spans="1:16" ht="12.75" customHeight="1" thickBot="1" x14ac:dyDescent="0.25">
      <c r="A33" s="17" t="str">
        <f t="shared" si="0"/>
        <v>BAVM 231 </v>
      </c>
      <c r="B33" s="6" t="str">
        <f t="shared" si="1"/>
        <v>II</v>
      </c>
      <c r="C33" s="17">
        <f t="shared" si="2"/>
        <v>56167.472199999997</v>
      </c>
      <c r="D33" s="19" t="str">
        <f t="shared" si="3"/>
        <v>vis</v>
      </c>
      <c r="E33" s="55">
        <f>VLOOKUP(C33,Active!C$21:E$973,3,FALSE)</f>
        <v>31839.395447672552</v>
      </c>
      <c r="F33" s="6" t="s">
        <v>67</v>
      </c>
      <c r="G33" s="19" t="str">
        <f t="shared" si="4"/>
        <v>56167.4722</v>
      </c>
      <c r="H33" s="17">
        <f t="shared" si="5"/>
        <v>31839.5</v>
      </c>
      <c r="I33" s="56" t="s">
        <v>242</v>
      </c>
      <c r="J33" s="57" t="s">
        <v>243</v>
      </c>
      <c r="K33" s="56" t="s">
        <v>244</v>
      </c>
      <c r="L33" s="56" t="s">
        <v>245</v>
      </c>
      <c r="M33" s="57" t="s">
        <v>184</v>
      </c>
      <c r="N33" s="57" t="s">
        <v>132</v>
      </c>
      <c r="O33" s="58" t="s">
        <v>96</v>
      </c>
      <c r="P33" s="59" t="s">
        <v>246</v>
      </c>
    </row>
    <row r="34" spans="1:16" ht="12.75" customHeight="1" thickBot="1" x14ac:dyDescent="0.25">
      <c r="A34" s="17" t="str">
        <f t="shared" si="0"/>
        <v>BAVM 234 </v>
      </c>
      <c r="B34" s="6" t="str">
        <f t="shared" si="1"/>
        <v>I</v>
      </c>
      <c r="C34" s="17">
        <f t="shared" si="2"/>
        <v>56568.562400000003</v>
      </c>
      <c r="D34" s="19" t="str">
        <f t="shared" si="3"/>
        <v>vis</v>
      </c>
      <c r="E34" s="55">
        <f>VLOOKUP(C34,Active!C$21:E$973,3,FALSE)</f>
        <v>32411.908797008873</v>
      </c>
      <c r="F34" s="6" t="s">
        <v>67</v>
      </c>
      <c r="G34" s="19" t="str">
        <f t="shared" si="4"/>
        <v>56568.5624</v>
      </c>
      <c r="H34" s="17">
        <f t="shared" si="5"/>
        <v>32412</v>
      </c>
      <c r="I34" s="56" t="s">
        <v>247</v>
      </c>
      <c r="J34" s="57" t="s">
        <v>248</v>
      </c>
      <c r="K34" s="56" t="s">
        <v>249</v>
      </c>
      <c r="L34" s="56" t="s">
        <v>250</v>
      </c>
      <c r="M34" s="57" t="s">
        <v>184</v>
      </c>
      <c r="N34" s="57" t="s">
        <v>132</v>
      </c>
      <c r="O34" s="58" t="s">
        <v>96</v>
      </c>
      <c r="P34" s="59" t="s">
        <v>251</v>
      </c>
    </row>
    <row r="35" spans="1:16" ht="12.75" customHeight="1" thickBot="1" x14ac:dyDescent="0.25">
      <c r="A35" s="17" t="str">
        <f t="shared" si="0"/>
        <v>BAVM 234 </v>
      </c>
      <c r="B35" s="6" t="str">
        <f t="shared" si="1"/>
        <v>II</v>
      </c>
      <c r="C35" s="17">
        <f t="shared" si="2"/>
        <v>56600.438999999998</v>
      </c>
      <c r="D35" s="19" t="str">
        <f t="shared" si="3"/>
        <v>vis</v>
      </c>
      <c r="E35" s="55">
        <f>VLOOKUP(C35,Active!C$21:E$973,3,FALSE)</f>
        <v>32457.409233148803</v>
      </c>
      <c r="F35" s="6" t="s">
        <v>67</v>
      </c>
      <c r="G35" s="19" t="str">
        <f t="shared" si="4"/>
        <v>56600.439</v>
      </c>
      <c r="H35" s="17">
        <f t="shared" si="5"/>
        <v>32457.5</v>
      </c>
      <c r="I35" s="56" t="s">
        <v>252</v>
      </c>
      <c r="J35" s="57" t="s">
        <v>253</v>
      </c>
      <c r="K35" s="56" t="s">
        <v>254</v>
      </c>
      <c r="L35" s="56" t="s">
        <v>255</v>
      </c>
      <c r="M35" s="57" t="s">
        <v>184</v>
      </c>
      <c r="N35" s="57" t="s">
        <v>132</v>
      </c>
      <c r="O35" s="58" t="s">
        <v>96</v>
      </c>
      <c r="P35" s="59" t="s">
        <v>251</v>
      </c>
    </row>
    <row r="36" spans="1:16" ht="12.75" customHeight="1" thickBot="1" x14ac:dyDescent="0.25">
      <c r="A36" s="17" t="str">
        <f t="shared" si="0"/>
        <v> RIA 8.374 </v>
      </c>
      <c r="B36" s="6" t="str">
        <f t="shared" si="1"/>
        <v>I</v>
      </c>
      <c r="C36" s="17">
        <f t="shared" si="2"/>
        <v>32768.593999999997</v>
      </c>
      <c r="D36" s="19" t="str">
        <f t="shared" si="3"/>
        <v>vis</v>
      </c>
      <c r="E36" s="55">
        <f>VLOOKUP(C36,Active!C$21:E$973,3,FALSE)</f>
        <v>-1559.99982300327</v>
      </c>
      <c r="F36" s="6" t="s">
        <v>67</v>
      </c>
      <c r="G36" s="19" t="str">
        <f t="shared" si="4"/>
        <v>32768.594</v>
      </c>
      <c r="H36" s="17">
        <f t="shared" si="5"/>
        <v>-1560</v>
      </c>
      <c r="I36" s="56" t="s">
        <v>70</v>
      </c>
      <c r="J36" s="57" t="s">
        <v>71</v>
      </c>
      <c r="K36" s="56">
        <v>-1560</v>
      </c>
      <c r="L36" s="56" t="s">
        <v>72</v>
      </c>
      <c r="M36" s="57" t="s">
        <v>69</v>
      </c>
      <c r="N36" s="57"/>
      <c r="O36" s="58" t="s">
        <v>73</v>
      </c>
      <c r="P36" s="58" t="s">
        <v>74</v>
      </c>
    </row>
    <row r="37" spans="1:16" ht="12.75" customHeight="1" thickBot="1" x14ac:dyDescent="0.25">
      <c r="A37" s="17" t="str">
        <f t="shared" si="0"/>
        <v> RIA 8.374 </v>
      </c>
      <c r="B37" s="6" t="str">
        <f t="shared" si="1"/>
        <v>I</v>
      </c>
      <c r="C37" s="17">
        <f t="shared" si="2"/>
        <v>33206.461000000003</v>
      </c>
      <c r="D37" s="19" t="str">
        <f t="shared" si="3"/>
        <v>vis</v>
      </c>
      <c r="E37" s="55">
        <f>VLOOKUP(C37,Active!C$21:E$973,3,FALSE)</f>
        <v>-934.99152628136983</v>
      </c>
      <c r="F37" s="6" t="s">
        <v>67</v>
      </c>
      <c r="G37" s="19" t="str">
        <f t="shared" si="4"/>
        <v>33206.461</v>
      </c>
      <c r="H37" s="17">
        <f t="shared" si="5"/>
        <v>-935</v>
      </c>
      <c r="I37" s="56" t="s">
        <v>75</v>
      </c>
      <c r="J37" s="57" t="s">
        <v>76</v>
      </c>
      <c r="K37" s="56">
        <v>-935</v>
      </c>
      <c r="L37" s="56" t="s">
        <v>77</v>
      </c>
      <c r="M37" s="57" t="s">
        <v>69</v>
      </c>
      <c r="N37" s="57"/>
      <c r="O37" s="58" t="s">
        <v>73</v>
      </c>
      <c r="P37" s="58" t="s">
        <v>74</v>
      </c>
    </row>
    <row r="38" spans="1:16" ht="12.75" customHeight="1" thickBot="1" x14ac:dyDescent="0.25">
      <c r="A38" s="17" t="str">
        <f t="shared" si="0"/>
        <v> RIA 8.374 </v>
      </c>
      <c r="B38" s="6" t="str">
        <f t="shared" si="1"/>
        <v>I</v>
      </c>
      <c r="C38" s="17">
        <f t="shared" si="2"/>
        <v>33477.569000000003</v>
      </c>
      <c r="D38" s="19" t="str">
        <f t="shared" si="3"/>
        <v>vis</v>
      </c>
      <c r="E38" s="55">
        <f>VLOOKUP(C38,Active!C$21:E$973,3,FALSE)</f>
        <v>-548.01386112807245</v>
      </c>
      <c r="F38" s="6" t="s">
        <v>67</v>
      </c>
      <c r="G38" s="19" t="str">
        <f t="shared" si="4"/>
        <v>33477.569</v>
      </c>
      <c r="H38" s="17">
        <f t="shared" si="5"/>
        <v>-548</v>
      </c>
      <c r="I38" s="56" t="s">
        <v>78</v>
      </c>
      <c r="J38" s="57" t="s">
        <v>79</v>
      </c>
      <c r="K38" s="56">
        <v>-548</v>
      </c>
      <c r="L38" s="56" t="s">
        <v>80</v>
      </c>
      <c r="M38" s="57" t="s">
        <v>69</v>
      </c>
      <c r="N38" s="57"/>
      <c r="O38" s="58" t="s">
        <v>73</v>
      </c>
      <c r="P38" s="58" t="s">
        <v>74</v>
      </c>
    </row>
    <row r="39" spans="1:16" ht="12.75" customHeight="1" thickBot="1" x14ac:dyDescent="0.25">
      <c r="A39" s="17" t="str">
        <f t="shared" si="0"/>
        <v> RIA 8.374 </v>
      </c>
      <c r="B39" s="6" t="str">
        <f t="shared" si="1"/>
        <v>I</v>
      </c>
      <c r="C39" s="17">
        <f t="shared" si="2"/>
        <v>33861.495000000003</v>
      </c>
      <c r="D39" s="19" t="str">
        <f t="shared" si="3"/>
        <v>vis</v>
      </c>
      <c r="E39" s="55">
        <f>VLOOKUP(C39,Active!C$21:E$973,3,FALSE)</f>
        <v>-5.7095720143485499E-4</v>
      </c>
      <c r="F39" s="6" t="s">
        <v>67</v>
      </c>
      <c r="G39" s="19" t="str">
        <f t="shared" si="4"/>
        <v>33861.495</v>
      </c>
      <c r="H39" s="17">
        <f t="shared" si="5"/>
        <v>0</v>
      </c>
      <c r="I39" s="56" t="s">
        <v>81</v>
      </c>
      <c r="J39" s="57" t="s">
        <v>82</v>
      </c>
      <c r="K39" s="56">
        <v>0</v>
      </c>
      <c r="L39" s="56" t="s">
        <v>83</v>
      </c>
      <c r="M39" s="57" t="s">
        <v>69</v>
      </c>
      <c r="N39" s="57"/>
      <c r="O39" s="58" t="s">
        <v>73</v>
      </c>
      <c r="P39" s="58" t="s">
        <v>74</v>
      </c>
    </row>
    <row r="40" spans="1:16" ht="12.75" customHeight="1" thickBot="1" x14ac:dyDescent="0.25">
      <c r="A40" s="17" t="str">
        <f t="shared" si="0"/>
        <v> RIA 8.374 </v>
      </c>
      <c r="B40" s="6" t="str">
        <f t="shared" si="1"/>
        <v>I</v>
      </c>
      <c r="C40" s="17">
        <f t="shared" si="2"/>
        <v>34374.317000000003</v>
      </c>
      <c r="D40" s="19" t="str">
        <f t="shared" si="3"/>
        <v>vis</v>
      </c>
      <c r="E40" s="55">
        <f>VLOOKUP(C40,Active!C$21:E$973,3,FALSE)</f>
        <v>731.99796910522434</v>
      </c>
      <c r="F40" s="6" t="s">
        <v>67</v>
      </c>
      <c r="G40" s="19" t="str">
        <f t="shared" si="4"/>
        <v>34374.317</v>
      </c>
      <c r="H40" s="17">
        <f t="shared" si="5"/>
        <v>732</v>
      </c>
      <c r="I40" s="56" t="s">
        <v>84</v>
      </c>
      <c r="J40" s="57" t="s">
        <v>85</v>
      </c>
      <c r="K40" s="56">
        <v>732</v>
      </c>
      <c r="L40" s="56" t="s">
        <v>86</v>
      </c>
      <c r="M40" s="57" t="s">
        <v>69</v>
      </c>
      <c r="N40" s="57"/>
      <c r="O40" s="58" t="s">
        <v>73</v>
      </c>
      <c r="P40" s="58" t="s">
        <v>74</v>
      </c>
    </row>
    <row r="41" spans="1:16" ht="12.75" customHeight="1" thickBot="1" x14ac:dyDescent="0.25">
      <c r="A41" s="17" t="str">
        <f t="shared" si="0"/>
        <v> RIA 8.374 </v>
      </c>
      <c r="B41" s="6" t="str">
        <f t="shared" si="1"/>
        <v>I</v>
      </c>
      <c r="C41" s="17">
        <f t="shared" si="2"/>
        <v>34697.286</v>
      </c>
      <c r="D41" s="19" t="str">
        <f t="shared" si="3"/>
        <v>vis</v>
      </c>
      <c r="E41" s="55">
        <f>VLOOKUP(C41,Active!C$21:E$973,3,FALSE)</f>
        <v>1193.0016633410792</v>
      </c>
      <c r="F41" s="6" t="s">
        <v>67</v>
      </c>
      <c r="G41" s="19" t="str">
        <f t="shared" si="4"/>
        <v>34697.286</v>
      </c>
      <c r="H41" s="17">
        <f t="shared" si="5"/>
        <v>1193</v>
      </c>
      <c r="I41" s="56" t="s">
        <v>87</v>
      </c>
      <c r="J41" s="57" t="s">
        <v>88</v>
      </c>
      <c r="K41" s="56">
        <v>1193</v>
      </c>
      <c r="L41" s="56" t="s">
        <v>89</v>
      </c>
      <c r="M41" s="57" t="s">
        <v>69</v>
      </c>
      <c r="N41" s="57"/>
      <c r="O41" s="58" t="s">
        <v>73</v>
      </c>
      <c r="P41" s="58" t="s">
        <v>74</v>
      </c>
    </row>
    <row r="42" spans="1:16" ht="12.75" customHeight="1" thickBot="1" x14ac:dyDescent="0.25">
      <c r="A42" s="17" t="str">
        <f t="shared" si="0"/>
        <v> RIA 8.374 </v>
      </c>
      <c r="B42" s="6" t="str">
        <f t="shared" si="1"/>
        <v>I</v>
      </c>
      <c r="C42" s="17">
        <f t="shared" si="2"/>
        <v>34963.504000000001</v>
      </c>
      <c r="D42" s="19" t="str">
        <f t="shared" si="3"/>
        <v>vis</v>
      </c>
      <c r="E42" s="55">
        <f>VLOOKUP(C42,Active!C$21:E$973,3,FALSE)</f>
        <v>1572.9993766574723</v>
      </c>
      <c r="F42" s="6" t="s">
        <v>67</v>
      </c>
      <c r="G42" s="19" t="str">
        <f t="shared" si="4"/>
        <v>34963.504</v>
      </c>
      <c r="H42" s="17">
        <f t="shared" si="5"/>
        <v>1573</v>
      </c>
      <c r="I42" s="56" t="s">
        <v>90</v>
      </c>
      <c r="J42" s="57" t="s">
        <v>91</v>
      </c>
      <c r="K42" s="56">
        <v>1573</v>
      </c>
      <c r="L42" s="56" t="s">
        <v>83</v>
      </c>
      <c r="M42" s="57" t="s">
        <v>69</v>
      </c>
      <c r="N42" s="57"/>
      <c r="O42" s="58" t="s">
        <v>73</v>
      </c>
      <c r="P42" s="58" t="s">
        <v>74</v>
      </c>
    </row>
    <row r="43" spans="1:16" ht="12.75" customHeight="1" thickBot="1" x14ac:dyDescent="0.25">
      <c r="A43" s="17" t="str">
        <f t="shared" si="0"/>
        <v> BBS 127 </v>
      </c>
      <c r="B43" s="6" t="str">
        <f t="shared" si="1"/>
        <v>I</v>
      </c>
      <c r="C43" s="17">
        <f t="shared" si="2"/>
        <v>52218.241999999998</v>
      </c>
      <c r="D43" s="19" t="str">
        <f t="shared" si="3"/>
        <v>vis</v>
      </c>
      <c r="E43" s="55">
        <f>VLOOKUP(C43,Active!C$21:E$973,3,FALSE)</f>
        <v>26202.291850770627</v>
      </c>
      <c r="F43" s="6" t="s">
        <v>67</v>
      </c>
      <c r="G43" s="19" t="str">
        <f t="shared" si="4"/>
        <v>52218.242</v>
      </c>
      <c r="H43" s="17">
        <f t="shared" si="5"/>
        <v>26202</v>
      </c>
      <c r="I43" s="56" t="s">
        <v>117</v>
      </c>
      <c r="J43" s="57" t="s">
        <v>118</v>
      </c>
      <c r="K43" s="56">
        <v>26202</v>
      </c>
      <c r="L43" s="56" t="s">
        <v>119</v>
      </c>
      <c r="M43" s="57" t="s">
        <v>95</v>
      </c>
      <c r="N43" s="57" t="s">
        <v>120</v>
      </c>
      <c r="O43" s="58" t="s">
        <v>121</v>
      </c>
      <c r="P43" s="58" t="s">
        <v>122</v>
      </c>
    </row>
    <row r="44" spans="1:16" ht="12.75" customHeight="1" thickBot="1" x14ac:dyDescent="0.25">
      <c r="A44" s="17" t="str">
        <f t="shared" si="0"/>
        <v> BBS 127 </v>
      </c>
      <c r="B44" s="6" t="str">
        <f t="shared" si="1"/>
        <v>I</v>
      </c>
      <c r="C44" s="17">
        <f t="shared" si="2"/>
        <v>52277.434000000001</v>
      </c>
      <c r="D44" s="19" t="str">
        <f t="shared" si="3"/>
        <v>vis</v>
      </c>
      <c r="E44" s="55">
        <f>VLOOKUP(C44,Active!C$21:E$973,3,FALSE)</f>
        <v>26286.782098036496</v>
      </c>
      <c r="F44" s="6" t="s">
        <v>67</v>
      </c>
      <c r="G44" s="19" t="str">
        <f t="shared" si="4"/>
        <v>52277.434</v>
      </c>
      <c r="H44" s="17">
        <f t="shared" si="5"/>
        <v>26287</v>
      </c>
      <c r="I44" s="56" t="s">
        <v>126</v>
      </c>
      <c r="J44" s="57" t="s">
        <v>127</v>
      </c>
      <c r="K44" s="56">
        <v>26287</v>
      </c>
      <c r="L44" s="56" t="s">
        <v>128</v>
      </c>
      <c r="M44" s="57" t="s">
        <v>95</v>
      </c>
      <c r="N44" s="57" t="s">
        <v>120</v>
      </c>
      <c r="O44" s="58" t="s">
        <v>121</v>
      </c>
      <c r="P44" s="58" t="s">
        <v>122</v>
      </c>
    </row>
    <row r="45" spans="1:16" ht="12.75" customHeight="1" thickBot="1" x14ac:dyDescent="0.25">
      <c r="A45" s="17" t="str">
        <f t="shared" si="0"/>
        <v>BAVM 203 </v>
      </c>
      <c r="B45" s="6" t="str">
        <f t="shared" si="1"/>
        <v>I</v>
      </c>
      <c r="C45" s="17">
        <f t="shared" si="2"/>
        <v>54738.612099999998</v>
      </c>
      <c r="D45" s="19" t="str">
        <f t="shared" si="3"/>
        <v>vis</v>
      </c>
      <c r="E45" s="55">
        <f>VLOOKUP(C45,Active!C$21:E$973,3,FALSE)</f>
        <v>29799.850523403606</v>
      </c>
      <c r="F45" s="6" t="s">
        <v>67</v>
      </c>
      <c r="G45" s="19" t="str">
        <f t="shared" si="4"/>
        <v>54738.6121</v>
      </c>
      <c r="H45" s="17">
        <f t="shared" si="5"/>
        <v>29800</v>
      </c>
      <c r="I45" s="56" t="s">
        <v>193</v>
      </c>
      <c r="J45" s="57" t="s">
        <v>194</v>
      </c>
      <c r="K45" s="56" t="s">
        <v>195</v>
      </c>
      <c r="L45" s="56" t="s">
        <v>196</v>
      </c>
      <c r="M45" s="57" t="s">
        <v>184</v>
      </c>
      <c r="N45" s="57" t="s">
        <v>132</v>
      </c>
      <c r="O45" s="58" t="s">
        <v>96</v>
      </c>
      <c r="P45" s="59" t="s">
        <v>197</v>
      </c>
    </row>
    <row r="46" spans="1:16" ht="12.75" customHeight="1" thickBot="1" x14ac:dyDescent="0.25">
      <c r="A46" s="17" t="str">
        <f t="shared" si="0"/>
        <v>BAVM 203 </v>
      </c>
      <c r="B46" s="6" t="str">
        <f t="shared" si="1"/>
        <v>II</v>
      </c>
      <c r="C46" s="17">
        <f t="shared" si="2"/>
        <v>54798.513200000001</v>
      </c>
      <c r="D46" s="19" t="str">
        <f t="shared" si="3"/>
        <v>vis</v>
      </c>
      <c r="E46" s="55">
        <f>VLOOKUP(C46,Active!C$21:E$973,3,FALSE)</f>
        <v>29885.352935055478</v>
      </c>
      <c r="F46" s="6" t="s">
        <v>67</v>
      </c>
      <c r="G46" s="19" t="str">
        <f t="shared" si="4"/>
        <v>54798.5132</v>
      </c>
      <c r="H46" s="17">
        <f t="shared" si="5"/>
        <v>29885.5</v>
      </c>
      <c r="I46" s="56" t="s">
        <v>198</v>
      </c>
      <c r="J46" s="57" t="s">
        <v>199</v>
      </c>
      <c r="K46" s="56" t="s">
        <v>200</v>
      </c>
      <c r="L46" s="56" t="s">
        <v>201</v>
      </c>
      <c r="M46" s="57" t="s">
        <v>184</v>
      </c>
      <c r="N46" s="57" t="s">
        <v>132</v>
      </c>
      <c r="O46" s="58" t="s">
        <v>96</v>
      </c>
      <c r="P46" s="59" t="s">
        <v>197</v>
      </c>
    </row>
    <row r="47" spans="1:16" ht="12.75" customHeight="1" thickBot="1" x14ac:dyDescent="0.25">
      <c r="A47" s="17" t="str">
        <f t="shared" si="0"/>
        <v>BAVM 212 </v>
      </c>
      <c r="B47" s="6" t="str">
        <f t="shared" si="1"/>
        <v>I</v>
      </c>
      <c r="C47" s="17">
        <f t="shared" si="2"/>
        <v>55050.379300000001</v>
      </c>
      <c r="D47" s="19" t="str">
        <f t="shared" si="3"/>
        <v>vis</v>
      </c>
      <c r="E47" s="55">
        <f>VLOOKUP(C47,Active!C$21:E$973,3,FALSE)</f>
        <v>30244.864846578806</v>
      </c>
      <c r="F47" s="6" t="s">
        <v>67</v>
      </c>
      <c r="G47" s="19" t="str">
        <f t="shared" si="4"/>
        <v>55050.3793</v>
      </c>
      <c r="H47" s="17">
        <f t="shared" si="5"/>
        <v>30245</v>
      </c>
      <c r="I47" s="56" t="s">
        <v>202</v>
      </c>
      <c r="J47" s="57" t="s">
        <v>203</v>
      </c>
      <c r="K47" s="56" t="s">
        <v>204</v>
      </c>
      <c r="L47" s="56" t="s">
        <v>205</v>
      </c>
      <c r="M47" s="57" t="s">
        <v>184</v>
      </c>
      <c r="N47" s="57" t="s">
        <v>132</v>
      </c>
      <c r="O47" s="58" t="s">
        <v>96</v>
      </c>
      <c r="P47" s="59" t="s">
        <v>206</v>
      </c>
    </row>
    <row r="48" spans="1:16" ht="12.75" customHeight="1" thickBot="1" x14ac:dyDescent="0.25">
      <c r="A48" s="17" t="str">
        <f t="shared" si="0"/>
        <v>BAVM 212 </v>
      </c>
      <c r="B48" s="6" t="str">
        <f t="shared" si="1"/>
        <v>II</v>
      </c>
      <c r="C48" s="17">
        <f t="shared" si="2"/>
        <v>55051.426500000001</v>
      </c>
      <c r="D48" s="19" t="str">
        <f t="shared" si="3"/>
        <v>vis</v>
      </c>
      <c r="E48" s="55">
        <f>VLOOKUP(C48,Active!C$21:E$973,3,FALSE)</f>
        <v>30246.359612542736</v>
      </c>
      <c r="F48" s="6" t="s">
        <v>67</v>
      </c>
      <c r="G48" s="19" t="str">
        <f t="shared" si="4"/>
        <v>55051.4265</v>
      </c>
      <c r="H48" s="17">
        <f t="shared" si="5"/>
        <v>30246.5</v>
      </c>
      <c r="I48" s="56" t="s">
        <v>207</v>
      </c>
      <c r="J48" s="57" t="s">
        <v>208</v>
      </c>
      <c r="K48" s="56" t="s">
        <v>209</v>
      </c>
      <c r="L48" s="56" t="s">
        <v>210</v>
      </c>
      <c r="M48" s="57" t="s">
        <v>184</v>
      </c>
      <c r="N48" s="57" t="s">
        <v>132</v>
      </c>
      <c r="O48" s="58" t="s">
        <v>211</v>
      </c>
      <c r="P48" s="59" t="s">
        <v>206</v>
      </c>
    </row>
    <row r="49" spans="1:16" ht="12.75" customHeight="1" thickBot="1" x14ac:dyDescent="0.25">
      <c r="A49" s="17" t="str">
        <f t="shared" si="0"/>
        <v>BAVM 212 </v>
      </c>
      <c r="B49" s="6" t="str">
        <f t="shared" si="1"/>
        <v>II</v>
      </c>
      <c r="C49" s="17">
        <f t="shared" si="2"/>
        <v>55058.431700000001</v>
      </c>
      <c r="D49" s="19" t="str">
        <f t="shared" si="3"/>
        <v>vis</v>
      </c>
      <c r="E49" s="55">
        <f>VLOOKUP(C49,Active!C$21:E$973,3,FALSE)</f>
        <v>30256.358786082179</v>
      </c>
      <c r="F49" s="6" t="s">
        <v>67</v>
      </c>
      <c r="G49" s="19" t="str">
        <f t="shared" si="4"/>
        <v>55058.4317</v>
      </c>
      <c r="H49" s="17">
        <f t="shared" si="5"/>
        <v>30256.5</v>
      </c>
      <c r="I49" s="56" t="s">
        <v>212</v>
      </c>
      <c r="J49" s="57" t="s">
        <v>213</v>
      </c>
      <c r="K49" s="56" t="s">
        <v>214</v>
      </c>
      <c r="L49" s="56" t="s">
        <v>215</v>
      </c>
      <c r="M49" s="57" t="s">
        <v>184</v>
      </c>
      <c r="N49" s="57" t="s">
        <v>132</v>
      </c>
      <c r="O49" s="58" t="s">
        <v>96</v>
      </c>
      <c r="P49" s="59" t="s">
        <v>206</v>
      </c>
    </row>
    <row r="50" spans="1:16" ht="12.75" customHeight="1" thickBot="1" x14ac:dyDescent="0.25">
      <c r="A50" s="17" t="str">
        <f t="shared" si="0"/>
        <v>BAVM 212 </v>
      </c>
      <c r="B50" s="6" t="str">
        <f t="shared" si="1"/>
        <v>I</v>
      </c>
      <c r="C50" s="17">
        <f t="shared" si="2"/>
        <v>55125.342499999999</v>
      </c>
      <c r="D50" s="19" t="str">
        <f t="shared" si="3"/>
        <v>vis</v>
      </c>
      <c r="E50" s="55">
        <f>VLOOKUP(C50,Active!C$21:E$973,3,FALSE)</f>
        <v>30351.866794542049</v>
      </c>
      <c r="F50" s="6" t="s">
        <v>67</v>
      </c>
      <c r="G50" s="19" t="str">
        <f t="shared" si="4"/>
        <v>55125.3425</v>
      </c>
      <c r="H50" s="17">
        <f t="shared" si="5"/>
        <v>30352</v>
      </c>
      <c r="I50" s="56" t="s">
        <v>216</v>
      </c>
      <c r="J50" s="57" t="s">
        <v>217</v>
      </c>
      <c r="K50" s="56" t="s">
        <v>218</v>
      </c>
      <c r="L50" s="56" t="s">
        <v>219</v>
      </c>
      <c r="M50" s="57" t="s">
        <v>184</v>
      </c>
      <c r="N50" s="57" t="s">
        <v>132</v>
      </c>
      <c r="O50" s="58" t="s">
        <v>96</v>
      </c>
      <c r="P50" s="59" t="s">
        <v>206</v>
      </c>
    </row>
    <row r="51" spans="1:16" ht="12.75" customHeight="1" thickBot="1" x14ac:dyDescent="0.25">
      <c r="A51" s="17" t="str">
        <f t="shared" si="0"/>
        <v>BAVM 212 </v>
      </c>
      <c r="B51" s="6" t="str">
        <f t="shared" si="1"/>
        <v>I</v>
      </c>
      <c r="C51" s="17">
        <f t="shared" si="2"/>
        <v>55141.454599999997</v>
      </c>
      <c r="D51" s="19" t="str">
        <f t="shared" si="3"/>
        <v>vis</v>
      </c>
      <c r="E51" s="55">
        <f>VLOOKUP(C51,Active!C$21:E$973,3,FALSE)</f>
        <v>30374.86509351779</v>
      </c>
      <c r="F51" s="6" t="s">
        <v>67</v>
      </c>
      <c r="G51" s="19" t="str">
        <f t="shared" si="4"/>
        <v>55141.4546</v>
      </c>
      <c r="H51" s="17">
        <f t="shared" si="5"/>
        <v>30375</v>
      </c>
      <c r="I51" s="56" t="s">
        <v>220</v>
      </c>
      <c r="J51" s="57" t="s">
        <v>221</v>
      </c>
      <c r="K51" s="56" t="s">
        <v>222</v>
      </c>
      <c r="L51" s="56" t="s">
        <v>223</v>
      </c>
      <c r="M51" s="57" t="s">
        <v>184</v>
      </c>
      <c r="N51" s="57" t="s">
        <v>132</v>
      </c>
      <c r="O51" s="58" t="s">
        <v>211</v>
      </c>
      <c r="P51" s="59" t="s">
        <v>206</v>
      </c>
    </row>
    <row r="52" spans="1:16" ht="12.75" customHeight="1" thickBot="1" x14ac:dyDescent="0.25">
      <c r="A52" s="17" t="str">
        <f t="shared" si="0"/>
        <v>BAVM 225 </v>
      </c>
      <c r="B52" s="6" t="str">
        <f t="shared" si="1"/>
        <v>I</v>
      </c>
      <c r="C52" s="17">
        <f t="shared" si="2"/>
        <v>55808.419800000003</v>
      </c>
      <c r="D52" s="19" t="str">
        <f t="shared" si="3"/>
        <v>vis</v>
      </c>
      <c r="E52" s="55">
        <f>VLOOKUP(C52,Active!C$21:E$973,3,FALSE)</f>
        <v>31326.886560366813</v>
      </c>
      <c r="F52" s="6" t="s">
        <v>67</v>
      </c>
      <c r="G52" s="19" t="str">
        <f t="shared" si="4"/>
        <v>55808.4198</v>
      </c>
      <c r="H52" s="17">
        <f t="shared" si="5"/>
        <v>31327</v>
      </c>
      <c r="I52" s="56" t="s">
        <v>229</v>
      </c>
      <c r="J52" s="57" t="s">
        <v>230</v>
      </c>
      <c r="K52" s="56" t="s">
        <v>231</v>
      </c>
      <c r="L52" s="56" t="s">
        <v>232</v>
      </c>
      <c r="M52" s="57" t="s">
        <v>184</v>
      </c>
      <c r="N52" s="57" t="s">
        <v>132</v>
      </c>
      <c r="O52" s="58" t="s">
        <v>96</v>
      </c>
      <c r="P52" s="59" t="s">
        <v>233</v>
      </c>
    </row>
    <row r="53" spans="1:16" ht="12.75" customHeight="1" thickBot="1" x14ac:dyDescent="0.25">
      <c r="A53" s="17" t="str">
        <f t="shared" si="0"/>
        <v>BAVM 225 </v>
      </c>
      <c r="B53" s="6" t="str">
        <f t="shared" si="1"/>
        <v>II</v>
      </c>
      <c r="C53" s="17">
        <f t="shared" si="2"/>
        <v>55849.402099999999</v>
      </c>
      <c r="D53" s="19" t="str">
        <f t="shared" si="3"/>
        <v>vis</v>
      </c>
      <c r="E53" s="55">
        <f>VLOOKUP(C53,Active!C$21:E$973,3,FALSE)</f>
        <v>31385.384409071426</v>
      </c>
      <c r="F53" s="6" t="s">
        <v>67</v>
      </c>
      <c r="G53" s="19" t="str">
        <f t="shared" si="4"/>
        <v>55849.4021</v>
      </c>
      <c r="H53" s="17">
        <f t="shared" si="5"/>
        <v>31385.5</v>
      </c>
      <c r="I53" s="56" t="s">
        <v>234</v>
      </c>
      <c r="J53" s="57" t="s">
        <v>235</v>
      </c>
      <c r="K53" s="56" t="s">
        <v>236</v>
      </c>
      <c r="L53" s="56" t="s">
        <v>237</v>
      </c>
      <c r="M53" s="57" t="s">
        <v>184</v>
      </c>
      <c r="N53" s="57" t="s">
        <v>132</v>
      </c>
      <c r="O53" s="58" t="s">
        <v>96</v>
      </c>
      <c r="P53" s="59" t="s">
        <v>233</v>
      </c>
    </row>
    <row r="54" spans="1:16" ht="12.75" customHeight="1" thickBot="1" x14ac:dyDescent="0.25">
      <c r="A54" s="17" t="str">
        <f t="shared" si="0"/>
        <v>BAVM 225 </v>
      </c>
      <c r="B54" s="6" t="str">
        <f t="shared" si="1"/>
        <v>II</v>
      </c>
      <c r="C54" s="17">
        <f t="shared" si="2"/>
        <v>55851.503299999997</v>
      </c>
      <c r="D54" s="19" t="str">
        <f t="shared" si="3"/>
        <v>vis</v>
      </c>
      <c r="E54" s="55">
        <f>VLOOKUP(C54,Active!C$21:E$973,3,FALSE)</f>
        <v>31388.38364727177</v>
      </c>
      <c r="F54" s="6" t="s">
        <v>67</v>
      </c>
      <c r="G54" s="19" t="str">
        <f t="shared" si="4"/>
        <v>55851.5033</v>
      </c>
      <c r="H54" s="17">
        <f t="shared" si="5"/>
        <v>31388.5</v>
      </c>
      <c r="I54" s="56" t="s">
        <v>238</v>
      </c>
      <c r="J54" s="57" t="s">
        <v>239</v>
      </c>
      <c r="K54" s="56" t="s">
        <v>240</v>
      </c>
      <c r="L54" s="56" t="s">
        <v>241</v>
      </c>
      <c r="M54" s="57" t="s">
        <v>184</v>
      </c>
      <c r="N54" s="57" t="s">
        <v>132</v>
      </c>
      <c r="O54" s="58" t="s">
        <v>96</v>
      </c>
      <c r="P54" s="59" t="s">
        <v>233</v>
      </c>
    </row>
    <row r="55" spans="1:16" x14ac:dyDescent="0.2">
      <c r="B55" s="6"/>
      <c r="F55" s="6"/>
    </row>
    <row r="56" spans="1:16" x14ac:dyDescent="0.2">
      <c r="B56" s="6"/>
      <c r="F56" s="6"/>
    </row>
    <row r="57" spans="1:16" x14ac:dyDescent="0.2">
      <c r="B57" s="6"/>
      <c r="F57" s="6"/>
    </row>
    <row r="58" spans="1:16" x14ac:dyDescent="0.2">
      <c r="B58" s="6"/>
      <c r="F58" s="6"/>
    </row>
    <row r="59" spans="1:16" x14ac:dyDescent="0.2">
      <c r="B59" s="6"/>
      <c r="F59" s="6"/>
    </row>
    <row r="60" spans="1:16" x14ac:dyDescent="0.2">
      <c r="B60" s="6"/>
      <c r="F60" s="6"/>
    </row>
    <row r="61" spans="1:16" x14ac:dyDescent="0.2">
      <c r="B61" s="6"/>
      <c r="F61" s="6"/>
    </row>
    <row r="62" spans="1:16" x14ac:dyDescent="0.2">
      <c r="B62" s="6"/>
      <c r="F62" s="6"/>
    </row>
    <row r="63" spans="1:16" x14ac:dyDescent="0.2">
      <c r="B63" s="6"/>
      <c r="F63" s="6"/>
    </row>
    <row r="64" spans="1:1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</sheetData>
  <phoneticPr fontId="7" type="noConversion"/>
  <hyperlinks>
    <hyperlink ref="P11" r:id="rId1" display="http://www.bav-astro.de/sfs/BAVM_link.php?BAVMnr=152"/>
    <hyperlink ref="P12" r:id="rId2" display="http://www.bav-astro.de/sfs/BAVM_link.php?BAVMnr=152"/>
    <hyperlink ref="P13" r:id="rId3" display="http://www.bav-astro.de/sfs/BAVM_link.php?BAVMnr=152"/>
    <hyperlink ref="P14" r:id="rId4" display="http://www.bav-astro.de/sfs/BAVM_link.php?BAVMnr=152"/>
    <hyperlink ref="P15" r:id="rId5" display="http://www.bav-astro.de/sfs/BAVM_link.php?BAVMnr=152"/>
    <hyperlink ref="P16" r:id="rId6" display="http://www.bav-astro.de/sfs/BAVM_link.php?BAVMnr=152"/>
    <hyperlink ref="P17" r:id="rId7" display="http://www.bav-astro.de/sfs/BAVM_link.php?BAVMnr=152"/>
    <hyperlink ref="P18" r:id="rId8" display="http://www.bav-astro.de/sfs/BAVM_link.php?BAVMnr=152"/>
    <hyperlink ref="P19" r:id="rId9" display="http://www.bav-astro.de/sfs/BAVM_link.php?BAVMnr=158"/>
    <hyperlink ref="P20" r:id="rId10" display="http://www.konkoly.hu/cgi-bin/IBVS?5378"/>
    <hyperlink ref="P21" r:id="rId11" display="http://www.bav-astro.de/sfs/BAVM_link.php?BAVMnr=158"/>
    <hyperlink ref="P22" r:id="rId12" display="http://www.bav-astro.de/sfs/BAVM_link.php?BAVMnr=172"/>
    <hyperlink ref="P23" r:id="rId13" display="http://www.bav-astro.de/sfs/BAVM_link.php?BAVMnr=172"/>
    <hyperlink ref="P24" r:id="rId14" display="http://www.bav-astro.de/sfs/BAVM_link.php?BAVMnr=172"/>
    <hyperlink ref="P25" r:id="rId15" display="http://www.konkoly.hu/cgi-bin/IBVS?5602"/>
    <hyperlink ref="P26" r:id="rId16" display="http://www.bav-astro.de/sfs/BAVM_link.php?BAVMnr=173"/>
    <hyperlink ref="P27" r:id="rId17" display="http://www.bav-astro.de/sfs/BAVM_link.php?BAVMnr=173"/>
    <hyperlink ref="P28" r:id="rId18" display="http://www.bav-astro.de/sfs/BAVM_link.php?BAVMnr=173"/>
    <hyperlink ref="P29" r:id="rId19" display="http://www.bav-astro.de/sfs/BAVM_link.php?BAVMnr=173"/>
    <hyperlink ref="P30" r:id="rId20" display="http://www.bav-astro.de/sfs/BAVM_link.php?BAVMnr=178"/>
    <hyperlink ref="P31" r:id="rId21" display="http://www.konkoly.hu/cgi-bin/IBVS?5820"/>
    <hyperlink ref="P45" r:id="rId22" display="http://www.bav-astro.de/sfs/BAVM_link.php?BAVMnr=203"/>
    <hyperlink ref="P46" r:id="rId23" display="http://www.bav-astro.de/sfs/BAVM_link.php?BAVMnr=203"/>
    <hyperlink ref="P47" r:id="rId24" display="http://www.bav-astro.de/sfs/BAVM_link.php?BAVMnr=212"/>
    <hyperlink ref="P48" r:id="rId25" display="http://www.bav-astro.de/sfs/BAVM_link.php?BAVMnr=212"/>
    <hyperlink ref="P49" r:id="rId26" display="http://www.bav-astro.de/sfs/BAVM_link.php?BAVMnr=212"/>
    <hyperlink ref="P50" r:id="rId27" display="http://www.bav-astro.de/sfs/BAVM_link.php?BAVMnr=212"/>
    <hyperlink ref="P51" r:id="rId28" display="http://www.bav-astro.de/sfs/BAVM_link.php?BAVMnr=212"/>
    <hyperlink ref="P32" r:id="rId29" display="http://www.bav-astro.de/sfs/BAVM_link.php?BAVMnr=215"/>
    <hyperlink ref="P52" r:id="rId30" display="http://www.bav-astro.de/sfs/BAVM_link.php?BAVMnr=225"/>
    <hyperlink ref="P53" r:id="rId31" display="http://www.bav-astro.de/sfs/BAVM_link.php?BAVMnr=225"/>
    <hyperlink ref="P54" r:id="rId32" display="http://www.bav-astro.de/sfs/BAVM_link.php?BAVMnr=225"/>
    <hyperlink ref="P33" r:id="rId33" display="http://www.bav-astro.de/sfs/BAVM_link.php?BAVMnr=231"/>
    <hyperlink ref="P34" r:id="rId34" display="http://www.bav-astro.de/sfs/BAVM_link.php?BAVMnr=234"/>
    <hyperlink ref="P35" r:id="rId35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2024-02-17T03:35:40Z</dcterms:modified>
</cp:coreProperties>
</file>