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E73A1D4-41C3-44CD-9F4A-FF20E255B45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J21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I26" i="1"/>
  <c r="Q21" i="1"/>
  <c r="Q23" i="1"/>
  <c r="Q24" i="1"/>
  <c r="Q25" i="1"/>
  <c r="G11" i="2"/>
  <c r="C11" i="2"/>
  <c r="E11" i="2"/>
  <c r="G15" i="2"/>
  <c r="C15" i="2"/>
  <c r="E15" i="2"/>
  <c r="G14" i="2"/>
  <c r="C14" i="2"/>
  <c r="E14" i="2"/>
  <c r="G13" i="2"/>
  <c r="C13" i="2"/>
  <c r="E13" i="2"/>
  <c r="G12" i="2"/>
  <c r="C12" i="2"/>
  <c r="E12" i="2"/>
  <c r="H11" i="2"/>
  <c r="D11" i="2"/>
  <c r="B11" i="2"/>
  <c r="A11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F11" i="1"/>
  <c r="Q26" i="1"/>
  <c r="C22" i="1"/>
  <c r="E22" i="1"/>
  <c r="F22" i="1"/>
  <c r="G11" i="1"/>
  <c r="E14" i="1"/>
  <c r="C17" i="1"/>
  <c r="Q22" i="1"/>
  <c r="G22" i="1"/>
  <c r="H22" i="1"/>
  <c r="C12" i="1"/>
  <c r="C16" i="1" l="1"/>
  <c r="D18" i="1" s="1"/>
  <c r="E15" i="1"/>
  <c r="C11" i="1"/>
  <c r="O25" i="1" l="1"/>
  <c r="O22" i="1"/>
  <c r="O21" i="1"/>
  <c r="O23" i="1"/>
  <c r="C15" i="1"/>
  <c r="O24" i="1"/>
  <c r="O26" i="1"/>
  <c r="C18" i="1" l="1"/>
  <c r="E16" i="1"/>
  <c r="E17" i="1" s="1"/>
</calcChain>
</file>

<file path=xl/sharedStrings.xml><?xml version="1.0" encoding="utf-8"?>
<sst xmlns="http://schemas.openxmlformats.org/spreadsheetml/2006/main" count="108" uniqueCount="80">
  <si>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</si>
  <si>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</si>
  <si>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</si>
  <si>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</si>
  <si>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</si>
  <si>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</si>
  <si>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</si>
  <si>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</si>
  <si>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</si>
  <si>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</si>
  <si>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</si>
  <si>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</si>
  <si>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</si>
  <si>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</si>
  <si>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</si>
  <si>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</si>
  <si>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</si>
  <si>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</si>
  <si>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</si>
  <si>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</si>
  <si>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</si>
  <si>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</si>
  <si>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</si>
  <si>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</si>
  <si>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</si>
  <si>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</si>
  <si>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</si>
  <si>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</si>
  <si>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</si>
  <si>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</si>
  <si>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</si>
  <si>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</si>
  <si>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</si>
  <si>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</si>
  <si>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</si>
  <si>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</si>
  <si>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</si>
  <si>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</si>
  <si>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</si>
  <si>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</si>
  <si>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</si>
  <si>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EA</t>
  </si>
  <si>
    <t>IBVS 6118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</si>
  <si>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</si>
  <si>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</si>
  <si>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</si>
  <si>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</si>
  <si>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</si>
  <si>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</si>
  <si>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</si>
  <si>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</si>
  <si>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</si>
  <si>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</si>
  <si>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</si>
  <si>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</si>
  <si>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</si>
  <si>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2432803.450 </t>
  </si>
  <si>
    <t> 08.09.1948 22:48 </t>
  </si>
  <si>
    <t> -0.006 </t>
  </si>
  <si>
    <t>P </t>
  </si>
  <si>
    <t> Miller &amp; Wachmann </t>
  </si>
  <si>
    <t> RIA 8.374 </t>
  </si>
  <si>
    <t>2433295.342 </t>
  </si>
  <si>
    <t> 13.01.1950 20:12 </t>
  </si>
  <si>
    <t> 0.021 </t>
  </si>
  <si>
    <t>2433476.522 </t>
  </si>
  <si>
    <t> 14.07.1950 00:31 </t>
  </si>
  <si>
    <t> -0.013 </t>
  </si>
  <si>
    <t>2434363.187 </t>
  </si>
  <si>
    <t> 16.12.1952 16:29 </t>
  </si>
  <si>
    <t> -0.000 </t>
  </si>
  <si>
    <t>2456592.2558 </t>
  </si>
  <si>
    <t> 26.10.2013 18:08 </t>
  </si>
  <si>
    <t> -1.9561 </t>
  </si>
  <si>
    <t>C </t>
  </si>
  <si>
    <t>-I</t>
  </si>
  <si>
    <t> F.Agerer </t>
  </si>
  <si>
    <t>BAVM 234 </t>
  </si>
  <si>
    <t>V0343 Lac / GSC 3982-2057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</si>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</sst>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5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4" fillId="2" borderId="11" xfId="0" applyFont="1" applyFill="1" applyBorder="1" applyAlignment="1">
      <alignment horizontal="left" vertical="top" wrapText="1" indent="1"/>
    </xf>
    <xf numFmtId="0" fontId="4" fillId="2" borderId="1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0" applyFont="1" applyAlignment="1"/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V0343 Lac  - 0</a:t>
            </a:r>
            <a:r>
              <a:rPr lang="en-US" baseline="0"/>
              <a:t> </a:t>
            </a:r>
            <a:r>
              <a:rPr lang="en-US"/>
              <a:t>- C Diagr</a:t>
            </a:r>
          </a:p>
        </c:rich>
      </c:tx>
      <c:layout>
        <c:manualLayout>
          <c:xMode val="edge"/>
          <c:yMode val="edge"/>
          <c:x val="0.3759398496240601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5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5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</c:v>
                </c:pt>
                <c:pt idx="3">
                  <c:v>104</c:v>
                </c:pt>
                <c:pt idx="4">
                  <c:v>241</c:v>
                </c:pt>
                <c:pt idx="5">
                  <c:v>3675.5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6E-4BF4-A90D-4CDBF1DBBB0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5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5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</c:v>
                </c:pt>
                <c:pt idx="3">
                  <c:v>104</c:v>
                </c:pt>
                <c:pt idx="4">
                  <c:v>241</c:v>
                </c:pt>
                <c:pt idx="5">
                  <c:v>3675.5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5">
                  <c:v>1.2798929999989923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6E-4BF4-A90D-4CDBF1DBBB0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5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5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</c:v>
                </c:pt>
                <c:pt idx="3">
                  <c:v>104</c:v>
                </c:pt>
                <c:pt idx="4">
                  <c:v>241</c:v>
                </c:pt>
                <c:pt idx="5">
                  <c:v>3675.5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-6.0000000012223609E-3</c:v>
                </c:pt>
                <c:pt idx="2">
                  <c:v>2.0535999996354803E-2</c:v>
                </c:pt>
                <c:pt idx="3">
                  <c:v>-1.3056000003416557E-2</c:v>
                </c:pt>
                <c:pt idx="4">
                  <c:v>-2.7399999817134812E-4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6E-4BF4-A90D-4CDBF1DBBB0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5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5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</c:v>
                </c:pt>
                <c:pt idx="3">
                  <c:v>104</c:v>
                </c:pt>
                <c:pt idx="4">
                  <c:v>241</c:v>
                </c:pt>
                <c:pt idx="5">
                  <c:v>3675.5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6E-4BF4-A90D-4CDBF1DBBB0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5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5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</c:v>
                </c:pt>
                <c:pt idx="3">
                  <c:v>104</c:v>
                </c:pt>
                <c:pt idx="4">
                  <c:v>241</c:v>
                </c:pt>
                <c:pt idx="5">
                  <c:v>3675.5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6E-4BF4-A90D-4CDBF1DBBB0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5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5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</c:v>
                </c:pt>
                <c:pt idx="3">
                  <c:v>104</c:v>
                </c:pt>
                <c:pt idx="4">
                  <c:v>241</c:v>
                </c:pt>
                <c:pt idx="5">
                  <c:v>3675.5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6E-4BF4-A90D-4CDBF1DBBB0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5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5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</c:v>
                </c:pt>
                <c:pt idx="3">
                  <c:v>104</c:v>
                </c:pt>
                <c:pt idx="4">
                  <c:v>241</c:v>
                </c:pt>
                <c:pt idx="5">
                  <c:v>3675.5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F6E-4BF4-A90D-4CDBF1DBBB0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</c:v>
                </c:pt>
                <c:pt idx="3">
                  <c:v>104</c:v>
                </c:pt>
                <c:pt idx="4">
                  <c:v>241</c:v>
                </c:pt>
                <c:pt idx="5">
                  <c:v>3675.5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-2.887855200115691E-2</c:v>
                </c:pt>
                <c:pt idx="1">
                  <c:v>-2.887855200115691E-2</c:v>
                </c:pt>
                <c:pt idx="2">
                  <c:v>-1.8964590652456835E-3</c:v>
                </c:pt>
                <c:pt idx="3">
                  <c:v>8.044312016405826E-3</c:v>
                </c:pt>
                <c:pt idx="4">
                  <c:v>5.6683084808772113E-2</c:v>
                </c:pt>
                <c:pt idx="5">
                  <c:v>1.2760251662349182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F6E-4BF4-A90D-4CDBF1DBBB0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</c:v>
                </c:pt>
                <c:pt idx="3">
                  <c:v>104</c:v>
                </c:pt>
                <c:pt idx="4">
                  <c:v>241</c:v>
                </c:pt>
                <c:pt idx="5">
                  <c:v>3675.5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F6E-4BF4-A90D-4CDBF1DBB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4426376"/>
        <c:axId val="1"/>
      </c:scatterChart>
      <c:valAx>
        <c:axId val="1044426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4426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5C9B1BA-32F3-84C3-575A-2A6515B574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2" ySplit="22" topLeftCell="M23" activePane="bottomRight" state="frozen"/>
      <selection pane="topRight" activeCell="M1" sqref="M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0" t="s">
        <v>78</v>
      </c>
    </row>
    <row r="2" spans="1:7" x14ac:dyDescent="0.2">
      <c r="A2" t="s">
        <v>23</v>
      </c>
      <c r="B2" t="s">
        <v>41</v>
      </c>
      <c r="C2" s="2"/>
      <c r="D2" s="2"/>
    </row>
    <row r="3" spans="1:7" ht="13.5" thickBot="1" x14ac:dyDescent="0.25"/>
    <row r="4" spans="1:7" ht="14.25" thickTop="1" thickBot="1" x14ac:dyDescent="0.25">
      <c r="A4" s="4" t="s">
        <v>0</v>
      </c>
      <c r="C4" s="27" t="s">
        <v>39</v>
      </c>
      <c r="D4" s="28" t="s">
        <v>39</v>
      </c>
    </row>
    <row r="6" spans="1:7" x14ac:dyDescent="0.2">
      <c r="A6" s="4" t="s">
        <v>1</v>
      </c>
    </row>
    <row r="7" spans="1:7" x14ac:dyDescent="0.2">
      <c r="A7" t="s">
        <v>2</v>
      </c>
      <c r="C7" s="51">
        <v>32803.455999999998</v>
      </c>
      <c r="D7" s="29" t="s">
        <v>40</v>
      </c>
    </row>
    <row r="8" spans="1:7" x14ac:dyDescent="0.2">
      <c r="A8" t="s">
        <v>3</v>
      </c>
      <c r="C8" s="51">
        <v>6.4719139999999999</v>
      </c>
      <c r="D8" s="29" t="s">
        <v>40</v>
      </c>
    </row>
    <row r="9" spans="1:7" x14ac:dyDescent="0.2">
      <c r="A9" s="8" t="s">
        <v>29</v>
      </c>
      <c r="B9" s="9"/>
      <c r="C9" s="10">
        <v>-9.5</v>
      </c>
      <c r="D9" s="9" t="s">
        <v>30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-2.887855200115691E-2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3.5502753863041089E-4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36</v>
      </c>
      <c r="E13" s="10">
        <v>1</v>
      </c>
    </row>
    <row r="14" spans="1:7" x14ac:dyDescent="0.2">
      <c r="A14" s="9"/>
      <c r="B14" s="9"/>
      <c r="C14" s="9"/>
      <c r="D14" s="13" t="s">
        <v>31</v>
      </c>
      <c r="E14" s="14">
        <f ca="1">NOW()+15018.5+$C$9/24</f>
        <v>60357.692557638889</v>
      </c>
    </row>
    <row r="15" spans="1:7" x14ac:dyDescent="0.2">
      <c r="A15" s="11" t="s">
        <v>17</v>
      </c>
      <c r="B15" s="9"/>
      <c r="C15" s="12">
        <f ca="1">(C7+C11)+(C8+C12)*INT(MAX(F21:F3533))</f>
        <v>56589.015797652464</v>
      </c>
      <c r="D15" s="13" t="s">
        <v>37</v>
      </c>
      <c r="E15" s="14">
        <f ca="1">ROUND(2*(E14-$C$7)/$C$8,0)/2+E13</f>
        <v>4258.5</v>
      </c>
    </row>
    <row r="16" spans="1:7" x14ac:dyDescent="0.2">
      <c r="A16" s="15" t="s">
        <v>4</v>
      </c>
      <c r="B16" s="9"/>
      <c r="C16" s="16">
        <f ca="1">+C8+C12</f>
        <v>6.4722690275386308</v>
      </c>
      <c r="D16" s="13" t="s">
        <v>38</v>
      </c>
      <c r="E16" s="23">
        <f ca="1">ROUND(2*(E14-$C$15)/$C$16,0)/2+E13</f>
        <v>583.5</v>
      </c>
    </row>
    <row r="17" spans="1:18" ht="13.5" thickBot="1" x14ac:dyDescent="0.25">
      <c r="A17" s="13" t="s">
        <v>28</v>
      </c>
      <c r="B17" s="9"/>
      <c r="C17" s="9">
        <f>COUNT(C21:C2191)</f>
        <v>6</v>
      </c>
      <c r="D17" s="13" t="s">
        <v>32</v>
      </c>
      <c r="E17" s="17">
        <f ca="1">+$C$15+$C$16*E16-15018.5-$C$9/24</f>
        <v>45347.480608554593</v>
      </c>
    </row>
    <row r="18" spans="1:18" ht="14.25" thickTop="1" thickBot="1" x14ac:dyDescent="0.25">
      <c r="A18" s="15" t="s">
        <v>5</v>
      </c>
      <c r="B18" s="9"/>
      <c r="C18" s="18">
        <f ca="1">+C15</f>
        <v>56589.015797652464</v>
      </c>
      <c r="D18" s="19">
        <f ca="1">+C16</f>
        <v>6.4722690275386308</v>
      </c>
      <c r="E18" s="20" t="s">
        <v>33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40</v>
      </c>
      <c r="I20" s="6" t="s">
        <v>27</v>
      </c>
      <c r="J20" s="6" t="s">
        <v>79</v>
      </c>
      <c r="K20" s="6" t="s">
        <v>46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R20" s="26" t="s">
        <v>35</v>
      </c>
    </row>
    <row r="21" spans="1:18" x14ac:dyDescent="0.2">
      <c r="A21" s="47" t="s">
        <v>61</v>
      </c>
      <c r="B21" s="49" t="s">
        <v>43</v>
      </c>
      <c r="C21" s="48">
        <v>32803.449999999997</v>
      </c>
      <c r="D21" s="7"/>
      <c r="E21">
        <f t="shared" ref="E21:E26" si="0">+(C21-C$7)/C$8</f>
        <v>-9.2708277662873156E-4</v>
      </c>
      <c r="F21">
        <f t="shared" ref="F21:F26" si="1">ROUND(2*E21,0)/2</f>
        <v>0</v>
      </c>
      <c r="G21">
        <f t="shared" ref="G21:G26" si="2">+C21-(C$7+F21*C$8)</f>
        <v>-6.0000000012223609E-3</v>
      </c>
      <c r="J21">
        <f>+G21</f>
        <v>-6.0000000012223609E-3</v>
      </c>
      <c r="O21">
        <f t="shared" ref="O21:O26" ca="1" si="3">+C$11+C$12*$F21</f>
        <v>-2.887855200115691E-2</v>
      </c>
      <c r="Q21" s="1">
        <f t="shared" ref="Q21:Q26" si="4">+C21-15018.5</f>
        <v>17784.949999999997</v>
      </c>
    </row>
    <row r="22" spans="1:18" x14ac:dyDescent="0.2">
      <c r="A22" t="s">
        <v>40</v>
      </c>
      <c r="C22" s="7">
        <f>C$7</f>
        <v>32803.455999999998</v>
      </c>
      <c r="D22" s="7" t="s">
        <v>13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-2.887855200115691E-2</v>
      </c>
      <c r="Q22" s="1">
        <f t="shared" si="4"/>
        <v>17784.955999999998</v>
      </c>
    </row>
    <row r="23" spans="1:18" x14ac:dyDescent="0.2">
      <c r="A23" s="47" t="s">
        <v>61</v>
      </c>
      <c r="B23" s="49" t="s">
        <v>43</v>
      </c>
      <c r="C23" s="48">
        <v>33295.341999999997</v>
      </c>
      <c r="D23" s="7"/>
      <c r="E23">
        <f t="shared" si="0"/>
        <v>76.003173095315944</v>
      </c>
      <c r="F23">
        <f t="shared" si="1"/>
        <v>76</v>
      </c>
      <c r="G23">
        <f t="shared" si="2"/>
        <v>2.0535999996354803E-2</v>
      </c>
      <c r="J23">
        <f>+G23</f>
        <v>2.0535999996354803E-2</v>
      </c>
      <c r="O23">
        <f t="shared" ca="1" si="3"/>
        <v>-1.8964590652456835E-3</v>
      </c>
      <c r="Q23" s="1">
        <f t="shared" si="4"/>
        <v>18276.841999999997</v>
      </c>
    </row>
    <row r="24" spans="1:18" x14ac:dyDescent="0.2">
      <c r="A24" s="47" t="s">
        <v>61</v>
      </c>
      <c r="B24" s="49" t="s">
        <v>43</v>
      </c>
      <c r="C24" s="48">
        <v>33476.521999999997</v>
      </c>
      <c r="D24" s="7"/>
      <c r="E24">
        <f t="shared" si="0"/>
        <v>103.99798266787829</v>
      </c>
      <c r="F24">
        <f t="shared" si="1"/>
        <v>104</v>
      </c>
      <c r="G24">
        <f t="shared" si="2"/>
        <v>-1.3056000003416557E-2</v>
      </c>
      <c r="J24">
        <f>+G24</f>
        <v>-1.3056000003416557E-2</v>
      </c>
      <c r="O24">
        <f t="shared" ca="1" si="3"/>
        <v>8.044312016405826E-3</v>
      </c>
      <c r="Q24" s="1">
        <f t="shared" si="4"/>
        <v>18458.021999999997</v>
      </c>
    </row>
    <row r="25" spans="1:18" x14ac:dyDescent="0.2">
      <c r="A25" s="47" t="s">
        <v>61</v>
      </c>
      <c r="B25" s="49" t="s">
        <v>43</v>
      </c>
      <c r="C25" s="48">
        <v>34363.186999999998</v>
      </c>
      <c r="D25" s="7"/>
      <c r="E25">
        <f t="shared" si="0"/>
        <v>240.99995766321985</v>
      </c>
      <c r="F25">
        <f t="shared" si="1"/>
        <v>241</v>
      </c>
      <c r="G25">
        <f t="shared" si="2"/>
        <v>-2.7399999817134812E-4</v>
      </c>
      <c r="J25">
        <f>+G25</f>
        <v>-2.7399999817134812E-4</v>
      </c>
      <c r="O25">
        <f t="shared" ca="1" si="3"/>
        <v>5.6683084808772113E-2</v>
      </c>
      <c r="Q25" s="1">
        <f t="shared" si="4"/>
        <v>19344.686999999998</v>
      </c>
    </row>
    <row r="26" spans="1:18" x14ac:dyDescent="0.2">
      <c r="A26" s="30" t="s">
        <v>42</v>
      </c>
      <c r="B26" s="31" t="s">
        <v>43</v>
      </c>
      <c r="C26" s="32">
        <v>56592.255799999999</v>
      </c>
      <c r="D26" s="33">
        <v>1.4E-3</v>
      </c>
      <c r="E26">
        <f t="shared" si="0"/>
        <v>3675.6977611259977</v>
      </c>
      <c r="F26">
        <f t="shared" si="1"/>
        <v>3675.5</v>
      </c>
      <c r="G26">
        <f t="shared" si="2"/>
        <v>1.2798929999989923</v>
      </c>
      <c r="I26">
        <f>+G26</f>
        <v>1.2798929999989923</v>
      </c>
      <c r="O26">
        <f t="shared" ca="1" si="3"/>
        <v>1.2760251662349182</v>
      </c>
      <c r="Q26" s="1">
        <f t="shared" si="4"/>
        <v>41573.755799999999</v>
      </c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5"/>
  <sheetViews>
    <sheetView workbookViewId="0">
      <selection activeCell="A12" sqref="A12:C15"/>
    </sheetView>
  </sheetViews>
  <sheetFormatPr defaultRowHeight="12.75" x14ac:dyDescent="0.2"/>
  <cols>
    <col min="1" max="1" width="19.7109375" style="7" customWidth="1"/>
    <col min="2" max="2" width="4.42578125" style="9" customWidth="1"/>
    <col min="3" max="3" width="12.7109375" style="7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7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34" t="s">
        <v>44</v>
      </c>
      <c r="I1" s="35" t="s">
        <v>45</v>
      </c>
      <c r="J1" s="36" t="s">
        <v>46</v>
      </c>
    </row>
    <row r="2" spans="1:16" x14ac:dyDescent="0.2">
      <c r="I2" s="37" t="s">
        <v>47</v>
      </c>
      <c r="J2" s="38" t="s">
        <v>48</v>
      </c>
    </row>
    <row r="3" spans="1:16" x14ac:dyDescent="0.2">
      <c r="A3" s="39" t="s">
        <v>49</v>
      </c>
      <c r="I3" s="37" t="s">
        <v>50</v>
      </c>
      <c r="J3" s="38" t="s">
        <v>51</v>
      </c>
    </row>
    <row r="4" spans="1:16" x14ac:dyDescent="0.2">
      <c r="I4" s="37" t="s">
        <v>52</v>
      </c>
      <c r="J4" s="38" t="s">
        <v>51</v>
      </c>
    </row>
    <row r="5" spans="1:16" ht="13.5" thickBot="1" x14ac:dyDescent="0.25">
      <c r="I5" s="40" t="s">
        <v>53</v>
      </c>
      <c r="J5" s="41" t="s">
        <v>54</v>
      </c>
    </row>
    <row r="10" spans="1:16" ht="13.5" thickBot="1" x14ac:dyDescent="0.25"/>
    <row r="11" spans="1:16" ht="12.75" customHeight="1" thickBot="1" x14ac:dyDescent="0.25">
      <c r="A11" s="7" t="str">
        <f>P11</f>
        <v>BAVM 234 </v>
      </c>
      <c r="B11" s="2" t="str">
        <f>IF(H11=INT(H11),"I","II")</f>
        <v>I</v>
      </c>
      <c r="C11" s="7">
        <f>1*G11</f>
        <v>56592.255799999999</v>
      </c>
      <c r="D11" s="9" t="str">
        <f>VLOOKUP(F11,I$1:J$5,2,FALSE)</f>
        <v>vis</v>
      </c>
      <c r="E11" s="42">
        <f>VLOOKUP(C11,Active!C$21:E$973,3,FALSE)</f>
        <v>3675.6977611259977</v>
      </c>
      <c r="F11" s="2" t="s">
        <v>53</v>
      </c>
      <c r="G11" s="9" t="str">
        <f>MID(I11,3,LEN(I11)-3)</f>
        <v>56592.2558</v>
      </c>
      <c r="H11" s="7">
        <f>1*K11</f>
        <v>3676</v>
      </c>
      <c r="I11" s="43" t="s">
        <v>71</v>
      </c>
      <c r="J11" s="44" t="s">
        <v>72</v>
      </c>
      <c r="K11" s="43">
        <v>3676</v>
      </c>
      <c r="L11" s="43" t="s">
        <v>73</v>
      </c>
      <c r="M11" s="44" t="s">
        <v>74</v>
      </c>
      <c r="N11" s="44" t="s">
        <v>75</v>
      </c>
      <c r="O11" s="45" t="s">
        <v>76</v>
      </c>
      <c r="P11" s="46" t="s">
        <v>77</v>
      </c>
    </row>
    <row r="12" spans="1:16" ht="12.75" customHeight="1" thickBot="1" x14ac:dyDescent="0.25">
      <c r="A12" s="7" t="str">
        <f>P12</f>
        <v> RIA 8.374 </v>
      </c>
      <c r="B12" s="2" t="str">
        <f>IF(H12=INT(H12),"I","II")</f>
        <v>I</v>
      </c>
      <c r="C12" s="7">
        <f>1*G12</f>
        <v>32803.449999999997</v>
      </c>
      <c r="D12" s="9" t="str">
        <f>VLOOKUP(F12,I$1:J$5,2,FALSE)</f>
        <v>vis</v>
      </c>
      <c r="E12" s="42">
        <f>VLOOKUP(C12,Active!C$21:E$973,3,FALSE)</f>
        <v>-9.2708277662873156E-4</v>
      </c>
      <c r="F12" s="2" t="s">
        <v>53</v>
      </c>
      <c r="G12" s="9" t="str">
        <f>MID(I12,3,LEN(I12)-3)</f>
        <v>32803.450</v>
      </c>
      <c r="H12" s="7">
        <f>1*K12</f>
        <v>0</v>
      </c>
      <c r="I12" s="43" t="s">
        <v>56</v>
      </c>
      <c r="J12" s="44" t="s">
        <v>57</v>
      </c>
      <c r="K12" s="43">
        <v>0</v>
      </c>
      <c r="L12" s="43" t="s">
        <v>58</v>
      </c>
      <c r="M12" s="44" t="s">
        <v>59</v>
      </c>
      <c r="N12" s="44"/>
      <c r="O12" s="45" t="s">
        <v>60</v>
      </c>
      <c r="P12" s="45" t="s">
        <v>61</v>
      </c>
    </row>
    <row r="13" spans="1:16" ht="12.75" customHeight="1" thickBot="1" x14ac:dyDescent="0.25">
      <c r="A13" s="7" t="str">
        <f>P13</f>
        <v> RIA 8.374 </v>
      </c>
      <c r="B13" s="2" t="str">
        <f>IF(H13=INT(H13),"I","II")</f>
        <v>I</v>
      </c>
      <c r="C13" s="7">
        <f>1*G13</f>
        <v>33295.341999999997</v>
      </c>
      <c r="D13" s="9" t="str">
        <f>VLOOKUP(F13,I$1:J$5,2,FALSE)</f>
        <v>vis</v>
      </c>
      <c r="E13" s="42">
        <f>VLOOKUP(C13,Active!C$21:E$973,3,FALSE)</f>
        <v>76.003173095315944</v>
      </c>
      <c r="F13" s="2" t="s">
        <v>53</v>
      </c>
      <c r="G13" s="9" t="str">
        <f>MID(I13,3,LEN(I13)-3)</f>
        <v>33295.342</v>
      </c>
      <c r="H13" s="7">
        <f>1*K13</f>
        <v>76</v>
      </c>
      <c r="I13" s="43" t="s">
        <v>62</v>
      </c>
      <c r="J13" s="44" t="s">
        <v>63</v>
      </c>
      <c r="K13" s="43">
        <v>76</v>
      </c>
      <c r="L13" s="43" t="s">
        <v>64</v>
      </c>
      <c r="M13" s="44" t="s">
        <v>55</v>
      </c>
      <c r="N13" s="44"/>
      <c r="O13" s="45" t="s">
        <v>60</v>
      </c>
      <c r="P13" s="45" t="s">
        <v>61</v>
      </c>
    </row>
    <row r="14" spans="1:16" ht="12.75" customHeight="1" thickBot="1" x14ac:dyDescent="0.25">
      <c r="A14" s="7" t="str">
        <f>P14</f>
        <v> RIA 8.374 </v>
      </c>
      <c r="B14" s="2" t="str">
        <f>IF(H14=INT(H14),"I","II")</f>
        <v>I</v>
      </c>
      <c r="C14" s="7">
        <f>1*G14</f>
        <v>33476.521999999997</v>
      </c>
      <c r="D14" s="9" t="str">
        <f>VLOOKUP(F14,I$1:J$5,2,FALSE)</f>
        <v>vis</v>
      </c>
      <c r="E14" s="42">
        <f>VLOOKUP(C14,Active!C$21:E$973,3,FALSE)</f>
        <v>103.99798266787829</v>
      </c>
      <c r="F14" s="2" t="s">
        <v>53</v>
      </c>
      <c r="G14" s="9" t="str">
        <f>MID(I14,3,LEN(I14)-3)</f>
        <v>33476.522</v>
      </c>
      <c r="H14" s="7">
        <f>1*K14</f>
        <v>104</v>
      </c>
      <c r="I14" s="43" t="s">
        <v>65</v>
      </c>
      <c r="J14" s="44" t="s">
        <v>66</v>
      </c>
      <c r="K14" s="43">
        <v>104</v>
      </c>
      <c r="L14" s="43" t="s">
        <v>67</v>
      </c>
      <c r="M14" s="44" t="s">
        <v>55</v>
      </c>
      <c r="N14" s="44"/>
      <c r="O14" s="45" t="s">
        <v>60</v>
      </c>
      <c r="P14" s="45" t="s">
        <v>61</v>
      </c>
    </row>
    <row r="15" spans="1:16" ht="12.75" customHeight="1" thickBot="1" x14ac:dyDescent="0.25">
      <c r="A15" s="7" t="str">
        <f>P15</f>
        <v> RIA 8.374 </v>
      </c>
      <c r="B15" s="2" t="str">
        <f>IF(H15=INT(H15),"I","II")</f>
        <v>I</v>
      </c>
      <c r="C15" s="7">
        <f>1*G15</f>
        <v>34363.186999999998</v>
      </c>
      <c r="D15" s="9" t="str">
        <f>VLOOKUP(F15,I$1:J$5,2,FALSE)</f>
        <v>vis</v>
      </c>
      <c r="E15" s="42">
        <f>VLOOKUP(C15,Active!C$21:E$973,3,FALSE)</f>
        <v>240.99995766321985</v>
      </c>
      <c r="F15" s="2" t="s">
        <v>53</v>
      </c>
      <c r="G15" s="9" t="str">
        <f>MID(I15,3,LEN(I15)-3)</f>
        <v>34363.187</v>
      </c>
      <c r="H15" s="7">
        <f>1*K15</f>
        <v>241</v>
      </c>
      <c r="I15" s="43" t="s">
        <v>68</v>
      </c>
      <c r="J15" s="44" t="s">
        <v>69</v>
      </c>
      <c r="K15" s="43">
        <v>241</v>
      </c>
      <c r="L15" s="43" t="s">
        <v>70</v>
      </c>
      <c r="M15" s="44" t="s">
        <v>55</v>
      </c>
      <c r="N15" s="44"/>
      <c r="O15" s="45" t="s">
        <v>60</v>
      </c>
      <c r="P15" s="45" t="s">
        <v>61</v>
      </c>
    </row>
    <row r="16" spans="1:16" x14ac:dyDescent="0.2">
      <c r="B16" s="2"/>
      <c r="E16" s="42"/>
      <c r="F16" s="2"/>
    </row>
    <row r="17" spans="2:6" x14ac:dyDescent="0.2">
      <c r="B17" s="2"/>
      <c r="E17" s="42"/>
      <c r="F17" s="2"/>
    </row>
    <row r="18" spans="2:6" x14ac:dyDescent="0.2">
      <c r="B18" s="2"/>
      <c r="F18" s="2"/>
    </row>
    <row r="19" spans="2:6" x14ac:dyDescent="0.2">
      <c r="B19" s="2"/>
      <c r="F19" s="2"/>
    </row>
    <row r="20" spans="2:6" x14ac:dyDescent="0.2">
      <c r="B20" s="2"/>
      <c r="F20" s="2"/>
    </row>
    <row r="21" spans="2:6" x14ac:dyDescent="0.2">
      <c r="B21" s="2"/>
      <c r="F21" s="2"/>
    </row>
    <row r="22" spans="2:6" x14ac:dyDescent="0.2">
      <c r="B22" s="2"/>
      <c r="F22" s="2"/>
    </row>
    <row r="23" spans="2:6" x14ac:dyDescent="0.2">
      <c r="B23" s="2"/>
      <c r="F23" s="2"/>
    </row>
    <row r="24" spans="2:6" x14ac:dyDescent="0.2">
      <c r="B24" s="2"/>
      <c r="F24" s="2"/>
    </row>
    <row r="25" spans="2:6" x14ac:dyDescent="0.2">
      <c r="B25" s="2"/>
      <c r="F25" s="2"/>
    </row>
    <row r="26" spans="2:6" x14ac:dyDescent="0.2">
      <c r="B26" s="2"/>
      <c r="F26" s="2"/>
    </row>
    <row r="27" spans="2:6" x14ac:dyDescent="0.2">
      <c r="B27" s="2"/>
      <c r="F27" s="2"/>
    </row>
    <row r="28" spans="2:6" x14ac:dyDescent="0.2">
      <c r="B28" s="2"/>
      <c r="F28" s="2"/>
    </row>
    <row r="29" spans="2:6" x14ac:dyDescent="0.2">
      <c r="B29" s="2"/>
      <c r="F29" s="2"/>
    </row>
    <row r="30" spans="2:6" x14ac:dyDescent="0.2">
      <c r="B30" s="2"/>
      <c r="F30" s="2"/>
    </row>
    <row r="31" spans="2:6" x14ac:dyDescent="0.2">
      <c r="B31" s="2"/>
      <c r="F31" s="2"/>
    </row>
    <row r="32" spans="2: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</sheetData>
  <phoneticPr fontId="6" type="noConversion"/>
  <hyperlinks>
    <hyperlink ref="P11" r:id="rId1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2024-02-17T03:37:17Z</dcterms:modified>
</cp:coreProperties>
</file>