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68A62FE-5013-497F-8567-07E458A935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9" i="2" l="1"/>
  <c r="F89" i="2"/>
  <c r="Q89" i="2"/>
  <c r="E88" i="2"/>
  <c r="F88" i="2"/>
  <c r="G88" i="2"/>
  <c r="K88" i="2"/>
  <c r="Q88" i="2"/>
  <c r="E58" i="2"/>
  <c r="F58" i="2"/>
  <c r="G58" i="2"/>
  <c r="E59" i="2"/>
  <c r="F59" i="2"/>
  <c r="G59" i="2"/>
  <c r="J59" i="2"/>
  <c r="E60" i="2"/>
  <c r="F60" i="2"/>
  <c r="G60" i="2"/>
  <c r="E61" i="2"/>
  <c r="F61" i="2"/>
  <c r="E62" i="2"/>
  <c r="F62" i="2"/>
  <c r="G62" i="2"/>
  <c r="K62" i="2"/>
  <c r="E63" i="2"/>
  <c r="F63" i="2"/>
  <c r="G63" i="2"/>
  <c r="K63" i="2"/>
  <c r="E64" i="2"/>
  <c r="F64" i="2"/>
  <c r="G64" i="2"/>
  <c r="J64" i="2"/>
  <c r="E65" i="2"/>
  <c r="F65" i="2"/>
  <c r="G65" i="2"/>
  <c r="J65" i="2"/>
  <c r="E66" i="2"/>
  <c r="F66" i="2"/>
  <c r="E67" i="2"/>
  <c r="F67" i="2"/>
  <c r="G67" i="2"/>
  <c r="K67" i="2"/>
  <c r="E68" i="2"/>
  <c r="F68" i="2"/>
  <c r="G68" i="2"/>
  <c r="K68" i="2"/>
  <c r="E69" i="2"/>
  <c r="F69" i="2"/>
  <c r="G69" i="2"/>
  <c r="E70" i="2"/>
  <c r="F70" i="2"/>
  <c r="G70" i="2"/>
  <c r="K70" i="2"/>
  <c r="E71" i="2"/>
  <c r="F71" i="2"/>
  <c r="G71" i="2"/>
  <c r="K71" i="2"/>
  <c r="E72" i="2"/>
  <c r="F72" i="2"/>
  <c r="G72" i="2"/>
  <c r="K72" i="2"/>
  <c r="E73" i="2"/>
  <c r="F73" i="2"/>
  <c r="G73" i="2"/>
  <c r="K73" i="2"/>
  <c r="E74" i="2"/>
  <c r="F74" i="2"/>
  <c r="G74" i="2"/>
  <c r="J74" i="2"/>
  <c r="E75" i="2"/>
  <c r="F75" i="2"/>
  <c r="G75" i="2"/>
  <c r="E76" i="2"/>
  <c r="F76" i="2"/>
  <c r="G76" i="2"/>
  <c r="E77" i="2"/>
  <c r="F77" i="2"/>
  <c r="G77" i="2"/>
  <c r="J77" i="2"/>
  <c r="E78" i="2"/>
  <c r="F78" i="2"/>
  <c r="G78" i="2"/>
  <c r="E79" i="2"/>
  <c r="F79" i="2"/>
  <c r="G79" i="2"/>
  <c r="E80" i="2"/>
  <c r="F80" i="2"/>
  <c r="G80" i="2"/>
  <c r="E81" i="2"/>
  <c r="F81" i="2"/>
  <c r="G81" i="2"/>
  <c r="J81" i="2"/>
  <c r="E82" i="2"/>
  <c r="F82" i="2"/>
  <c r="G82" i="2"/>
  <c r="J82" i="2"/>
  <c r="E83" i="2"/>
  <c r="F83" i="2"/>
  <c r="G83" i="2"/>
  <c r="E84" i="2"/>
  <c r="F84" i="2"/>
  <c r="G84" i="2"/>
  <c r="E85" i="2"/>
  <c r="F85" i="2"/>
  <c r="G85" i="2"/>
  <c r="E86" i="2"/>
  <c r="F86" i="2"/>
  <c r="G86" i="2"/>
  <c r="K86" i="2"/>
  <c r="E87" i="2"/>
  <c r="F87" i="2"/>
  <c r="G87" i="2"/>
  <c r="K87" i="2"/>
  <c r="D9" i="2"/>
  <c r="C9" i="2"/>
  <c r="Q87" i="2"/>
  <c r="Q76" i="2"/>
  <c r="D11" i="2"/>
  <c r="W17" i="2" s="1"/>
  <c r="D12" i="2"/>
  <c r="E21" i="2"/>
  <c r="F21" i="2"/>
  <c r="G21" i="2"/>
  <c r="K21" i="2"/>
  <c r="E22" i="2"/>
  <c r="F22" i="2"/>
  <c r="G22" i="2"/>
  <c r="K22" i="2"/>
  <c r="E23" i="2"/>
  <c r="F23" i="2"/>
  <c r="G23" i="2"/>
  <c r="K23" i="2"/>
  <c r="E24" i="2"/>
  <c r="F24" i="2"/>
  <c r="G24" i="2"/>
  <c r="I24" i="2"/>
  <c r="E25" i="2"/>
  <c r="F25" i="2"/>
  <c r="G25" i="2"/>
  <c r="E26" i="2"/>
  <c r="F26" i="2"/>
  <c r="G26" i="2"/>
  <c r="K26" i="2"/>
  <c r="E27" i="2"/>
  <c r="F27" i="2"/>
  <c r="G27" i="2"/>
  <c r="K27" i="2"/>
  <c r="E28" i="2"/>
  <c r="F28" i="2"/>
  <c r="G28" i="2"/>
  <c r="E29" i="2"/>
  <c r="F29" i="2"/>
  <c r="G29" i="2"/>
  <c r="E30" i="2"/>
  <c r="F30" i="2"/>
  <c r="G30" i="2"/>
  <c r="K30" i="2"/>
  <c r="E31" i="2"/>
  <c r="F31" i="2"/>
  <c r="G31" i="2"/>
  <c r="K31" i="2"/>
  <c r="E32" i="2"/>
  <c r="F32" i="2"/>
  <c r="G32" i="2"/>
  <c r="I32" i="2"/>
  <c r="E33" i="2"/>
  <c r="F33" i="2"/>
  <c r="G33" i="2"/>
  <c r="E34" i="2"/>
  <c r="F34" i="2"/>
  <c r="G34" i="2"/>
  <c r="E35" i="2"/>
  <c r="F35" i="2"/>
  <c r="G35" i="2"/>
  <c r="J35" i="2"/>
  <c r="E36" i="2"/>
  <c r="F36" i="2"/>
  <c r="G36" i="2"/>
  <c r="J36" i="2"/>
  <c r="E37" i="2"/>
  <c r="F37" i="2"/>
  <c r="G37" i="2"/>
  <c r="E38" i="2"/>
  <c r="F38" i="2"/>
  <c r="G38" i="2"/>
  <c r="E39" i="2"/>
  <c r="F39" i="2"/>
  <c r="G39" i="2"/>
  <c r="J39" i="2"/>
  <c r="E40" i="2"/>
  <c r="F40" i="2"/>
  <c r="G40" i="2"/>
  <c r="J40" i="2"/>
  <c r="E41" i="2"/>
  <c r="F41" i="2"/>
  <c r="G41" i="2"/>
  <c r="E42" i="2"/>
  <c r="F42" i="2"/>
  <c r="G42" i="2"/>
  <c r="J42" i="2"/>
  <c r="E43" i="2"/>
  <c r="F43" i="2"/>
  <c r="G43" i="2"/>
  <c r="J43" i="2"/>
  <c r="E44" i="2"/>
  <c r="F44" i="2"/>
  <c r="G44" i="2"/>
  <c r="J44" i="2"/>
  <c r="E45" i="2"/>
  <c r="F45" i="2"/>
  <c r="G45" i="2"/>
  <c r="J45" i="2"/>
  <c r="E46" i="2"/>
  <c r="F46" i="2"/>
  <c r="G46" i="2"/>
  <c r="J46" i="2"/>
  <c r="E47" i="2"/>
  <c r="F47" i="2"/>
  <c r="G47" i="2"/>
  <c r="J47" i="2"/>
  <c r="E48" i="2"/>
  <c r="F48" i="2"/>
  <c r="G48" i="2"/>
  <c r="J48" i="2"/>
  <c r="E49" i="2"/>
  <c r="F49" i="2"/>
  <c r="G49" i="2"/>
  <c r="J49" i="2"/>
  <c r="E50" i="2"/>
  <c r="F50" i="2"/>
  <c r="G50" i="2"/>
  <c r="E51" i="2"/>
  <c r="F51" i="2"/>
  <c r="G51" i="2"/>
  <c r="J51" i="2"/>
  <c r="E52" i="2"/>
  <c r="F52" i="2"/>
  <c r="G52" i="2"/>
  <c r="J52" i="2"/>
  <c r="E53" i="2"/>
  <c r="F53" i="2"/>
  <c r="G53" i="2"/>
  <c r="E54" i="2"/>
  <c r="F54" i="2"/>
  <c r="G54" i="2"/>
  <c r="J54" i="2"/>
  <c r="E55" i="2"/>
  <c r="F55" i="2"/>
  <c r="G55" i="2"/>
  <c r="J55" i="2"/>
  <c r="E56" i="2"/>
  <c r="F56" i="2"/>
  <c r="E57" i="2"/>
  <c r="F57" i="2"/>
  <c r="G57" i="2"/>
  <c r="D13" i="2"/>
  <c r="Q86" i="2"/>
  <c r="Q24" i="2"/>
  <c r="Q32" i="2"/>
  <c r="Q61" i="2"/>
  <c r="Q62" i="2"/>
  <c r="Q63" i="2"/>
  <c r="Q68" i="2"/>
  <c r="Q69" i="2"/>
  <c r="Q70" i="2"/>
  <c r="Q71" i="2"/>
  <c r="Q72" i="2"/>
  <c r="Q73" i="2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50" i="3"/>
  <c r="C50" i="3"/>
  <c r="E50" i="3"/>
  <c r="G49" i="3"/>
  <c r="C49" i="3"/>
  <c r="E49" i="3"/>
  <c r="G48" i="3"/>
  <c r="C48" i="3"/>
  <c r="E48" i="3"/>
  <c r="G47" i="3"/>
  <c r="C47" i="3"/>
  <c r="E47" i="3"/>
  <c r="G66" i="3"/>
  <c r="C66" i="3"/>
  <c r="G65" i="3"/>
  <c r="C65" i="3"/>
  <c r="E65" i="3"/>
  <c r="G64" i="3"/>
  <c r="C64" i="3"/>
  <c r="E64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63" i="3"/>
  <c r="C63" i="3"/>
  <c r="E63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62" i="3"/>
  <c r="C62" i="3"/>
  <c r="E62" i="3"/>
  <c r="G12" i="3"/>
  <c r="C12" i="3"/>
  <c r="E12" i="3"/>
  <c r="G11" i="3"/>
  <c r="C11" i="3"/>
  <c r="E11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66" i="3"/>
  <c r="B66" i="3"/>
  <c r="D66" i="3"/>
  <c r="A66" i="3"/>
  <c r="H65" i="3"/>
  <c r="B65" i="3"/>
  <c r="D65" i="3"/>
  <c r="A65" i="3"/>
  <c r="H64" i="3"/>
  <c r="B64" i="3"/>
  <c r="D64" i="3"/>
  <c r="A64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63" i="3"/>
  <c r="B63" i="3"/>
  <c r="D63" i="3"/>
  <c r="A63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62" i="3"/>
  <c r="B62" i="3"/>
  <c r="D62" i="3"/>
  <c r="A62" i="3"/>
  <c r="H12" i="3"/>
  <c r="B12" i="3"/>
  <c r="D12" i="3"/>
  <c r="A12" i="3"/>
  <c r="H11" i="3"/>
  <c r="B11" i="3"/>
  <c r="D11" i="3"/>
  <c r="A11" i="3"/>
  <c r="Q59" i="2"/>
  <c r="Q60" i="2"/>
  <c r="Q65" i="2"/>
  <c r="Q66" i="2"/>
  <c r="Q83" i="2"/>
  <c r="Q84" i="2"/>
  <c r="Q85" i="2"/>
  <c r="W5" i="2"/>
  <c r="W13" i="2"/>
  <c r="P40" i="2"/>
  <c r="Q21" i="2"/>
  <c r="Q77" i="2"/>
  <c r="Q78" i="2"/>
  <c r="Q79" i="2"/>
  <c r="Q80" i="2"/>
  <c r="Q81" i="2"/>
  <c r="Q82" i="2"/>
  <c r="Q74" i="2"/>
  <c r="Q75" i="2"/>
  <c r="Q64" i="2"/>
  <c r="Q67" i="2"/>
  <c r="F16" i="2"/>
  <c r="F17" i="2" s="1"/>
  <c r="C17" i="2"/>
  <c r="Q58" i="2"/>
  <c r="Q55" i="2"/>
  <c r="Q56" i="2"/>
  <c r="Q57" i="2"/>
  <c r="Q22" i="2"/>
  <c r="Q23" i="2"/>
  <c r="Q25" i="2"/>
  <c r="Q26" i="2"/>
  <c r="Q27" i="2"/>
  <c r="Q28" i="2"/>
  <c r="Q29" i="2"/>
  <c r="Q30" i="2"/>
  <c r="Q31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Q43" i="1"/>
  <c r="Q44" i="1"/>
  <c r="Q45" i="1"/>
  <c r="Q46" i="1"/>
  <c r="Q47" i="1"/>
  <c r="Q48" i="1"/>
  <c r="Q49" i="1"/>
  <c r="Q50" i="1"/>
  <c r="Q51" i="1"/>
  <c r="Q52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40" i="1"/>
  <c r="F40" i="1"/>
  <c r="G40" i="1"/>
  <c r="I40" i="1"/>
  <c r="E41" i="1"/>
  <c r="F41" i="1"/>
  <c r="G41" i="1"/>
  <c r="I41" i="1"/>
  <c r="E42" i="1"/>
  <c r="F42" i="1"/>
  <c r="G42" i="1"/>
  <c r="I42" i="1"/>
  <c r="Q31" i="1"/>
  <c r="Q32" i="1"/>
  <c r="Q33" i="1"/>
  <c r="Q34" i="1"/>
  <c r="Q35" i="1"/>
  <c r="Q36" i="1"/>
  <c r="Q37" i="1"/>
  <c r="Q38" i="1"/>
  <c r="Q39" i="1"/>
  <c r="Q40" i="1"/>
  <c r="Q41" i="1"/>
  <c r="Q42" i="1"/>
  <c r="Q21" i="1"/>
  <c r="Q22" i="1"/>
  <c r="Q23" i="1"/>
  <c r="Q24" i="1"/>
  <c r="Q25" i="1"/>
  <c r="Q26" i="1"/>
  <c r="Q27" i="1"/>
  <c r="Q28" i="1"/>
  <c r="Q29" i="1"/>
  <c r="Q30" i="1"/>
  <c r="C19" i="1"/>
  <c r="K76" i="2"/>
  <c r="J83" i="2"/>
  <c r="J80" i="2"/>
  <c r="J84" i="2"/>
  <c r="J57" i="2"/>
  <c r="J53" i="2"/>
  <c r="J41" i="2"/>
  <c r="J37" i="2"/>
  <c r="J33" i="2"/>
  <c r="K29" i="2"/>
  <c r="K25" i="2"/>
  <c r="J78" i="2"/>
  <c r="J85" i="2"/>
  <c r="J79" i="2"/>
  <c r="J75" i="2"/>
  <c r="J60" i="2"/>
  <c r="J58" i="2"/>
  <c r="J50" i="2"/>
  <c r="J38" i="2"/>
  <c r="J34" i="2"/>
  <c r="K28" i="2"/>
  <c r="P62" i="2"/>
  <c r="R62" i="2" s="1"/>
  <c r="T62" i="2" s="1"/>
  <c r="K69" i="2"/>
  <c r="G89" i="2"/>
  <c r="G56" i="2"/>
  <c r="J56" i="2"/>
  <c r="P60" i="2"/>
  <c r="R60" i="2"/>
  <c r="T60" i="2" s="1"/>
  <c r="P36" i="2"/>
  <c r="R36" i="2" s="1"/>
  <c r="T36" i="2" s="1"/>
  <c r="P34" i="2"/>
  <c r="R34" i="2"/>
  <c r="T34" i="2" s="1"/>
  <c r="P29" i="2"/>
  <c r="R29" i="2"/>
  <c r="T29" i="2" s="1"/>
  <c r="W11" i="2"/>
  <c r="P87" i="2"/>
  <c r="R87" i="2"/>
  <c r="T87" i="2" s="1"/>
  <c r="P52" i="2"/>
  <c r="R52" i="2" s="1"/>
  <c r="T52" i="2" s="1"/>
  <c r="P82" i="2"/>
  <c r="R82" i="2" s="1"/>
  <c r="T82" i="2" s="1"/>
  <c r="P48" i="2"/>
  <c r="R48" i="2" s="1"/>
  <c r="T48" i="2" s="1"/>
  <c r="P30" i="2"/>
  <c r="R30" i="2" s="1"/>
  <c r="T30" i="2" s="1"/>
  <c r="E66" i="3"/>
  <c r="P32" i="2"/>
  <c r="R32" i="2"/>
  <c r="T32" i="2" s="1"/>
  <c r="P28" i="2"/>
  <c r="R28" i="2" s="1"/>
  <c r="T28" i="2" s="1"/>
  <c r="P49" i="2"/>
  <c r="R49" i="2"/>
  <c r="T49" i="2" s="1"/>
  <c r="W16" i="2"/>
  <c r="P86" i="2"/>
  <c r="R86" i="2" s="1"/>
  <c r="T86" i="2" s="1"/>
  <c r="K89" i="2"/>
  <c r="C11" i="1"/>
  <c r="R40" i="2"/>
  <c r="T40" i="2" s="1"/>
  <c r="P22" i="2"/>
  <c r="R22" i="2" s="1"/>
  <c r="T22" i="2" s="1"/>
  <c r="D16" i="2"/>
  <c r="D19" i="2" s="1"/>
  <c r="P61" i="2"/>
  <c r="G61" i="2"/>
  <c r="K61" i="2"/>
  <c r="C12" i="1"/>
  <c r="C16" i="1"/>
  <c r="D18" i="1"/>
  <c r="G66" i="2"/>
  <c r="R61" i="2"/>
  <c r="T61" i="2"/>
  <c r="J66" i="2"/>
  <c r="O27" i="1"/>
  <c r="O29" i="1"/>
  <c r="O23" i="1"/>
  <c r="O47" i="1"/>
  <c r="O44" i="1"/>
  <c r="O39" i="1"/>
  <c r="O36" i="1"/>
  <c r="O50" i="1"/>
  <c r="O49" i="1"/>
  <c r="O22" i="1"/>
  <c r="O31" i="1"/>
  <c r="O28" i="1"/>
  <c r="O24" i="1"/>
  <c r="O33" i="1"/>
  <c r="O46" i="1"/>
  <c r="O37" i="1"/>
  <c r="O48" i="1"/>
  <c r="O43" i="1"/>
  <c r="O40" i="1"/>
  <c r="O41" i="1"/>
  <c r="O52" i="1"/>
  <c r="O51" i="1"/>
  <c r="O25" i="1"/>
  <c r="O21" i="1"/>
  <c r="O45" i="1"/>
  <c r="C15" i="1"/>
  <c r="C18" i="1"/>
  <c r="O35" i="1"/>
  <c r="O30" i="1"/>
  <c r="O42" i="1"/>
  <c r="O38" i="1"/>
  <c r="O34" i="1"/>
  <c r="O26" i="1"/>
  <c r="O32" i="1"/>
  <c r="C12" i="2"/>
  <c r="C11" i="2"/>
  <c r="O67" i="2" l="1"/>
  <c r="O85" i="2"/>
  <c r="O80" i="2"/>
  <c r="O86" i="2"/>
  <c r="O89" i="2"/>
  <c r="O72" i="2"/>
  <c r="O61" i="2"/>
  <c r="C15" i="2"/>
  <c r="O82" i="2"/>
  <c r="O32" i="2"/>
  <c r="O83" i="2"/>
  <c r="O62" i="2"/>
  <c r="O66" i="2"/>
  <c r="O60" i="2"/>
  <c r="O65" i="2"/>
  <c r="O70" i="2"/>
  <c r="O87" i="2"/>
  <c r="O75" i="2"/>
  <c r="O64" i="2"/>
  <c r="O68" i="2"/>
  <c r="O69" i="2"/>
  <c r="O24" i="2"/>
  <c r="O63" i="2"/>
  <c r="O81" i="2"/>
  <c r="O77" i="2"/>
  <c r="O84" i="2"/>
  <c r="O76" i="2"/>
  <c r="O73" i="2"/>
  <c r="O59" i="2"/>
  <c r="O74" i="2"/>
  <c r="O71" i="2"/>
  <c r="O79" i="2"/>
  <c r="O88" i="2"/>
  <c r="O78" i="2"/>
  <c r="C16" i="2"/>
  <c r="D18" i="2" s="1"/>
  <c r="P37" i="2"/>
  <c r="R37" i="2" s="1"/>
  <c r="T37" i="2" s="1"/>
  <c r="P50" i="2"/>
  <c r="R50" i="2" s="1"/>
  <c r="T50" i="2" s="1"/>
  <c r="P81" i="2"/>
  <c r="R81" i="2" s="1"/>
  <c r="T81" i="2" s="1"/>
  <c r="P74" i="2"/>
  <c r="R74" i="2" s="1"/>
  <c r="T74" i="2" s="1"/>
  <c r="P76" i="2"/>
  <c r="R76" i="2" s="1"/>
  <c r="T76" i="2" s="1"/>
  <c r="P55" i="2"/>
  <c r="R55" i="2" s="1"/>
  <c r="T55" i="2" s="1"/>
  <c r="W3" i="2"/>
  <c r="P66" i="2"/>
  <c r="R66" i="2" s="1"/>
  <c r="T66" i="2" s="1"/>
  <c r="P46" i="2"/>
  <c r="R46" i="2" s="1"/>
  <c r="T46" i="2" s="1"/>
  <c r="P71" i="2"/>
  <c r="R71" i="2" s="1"/>
  <c r="T71" i="2" s="1"/>
  <c r="P57" i="2"/>
  <c r="R57" i="2" s="1"/>
  <c r="T57" i="2" s="1"/>
  <c r="P23" i="2"/>
  <c r="R23" i="2" s="1"/>
  <c r="T23" i="2" s="1"/>
  <c r="P75" i="2"/>
  <c r="R75" i="2" s="1"/>
  <c r="T75" i="2" s="1"/>
  <c r="P35" i="2"/>
  <c r="R35" i="2" s="1"/>
  <c r="T35" i="2" s="1"/>
  <c r="P68" i="2"/>
  <c r="R68" i="2" s="1"/>
  <c r="T68" i="2" s="1"/>
  <c r="P39" i="2"/>
  <c r="R39" i="2" s="1"/>
  <c r="T39" i="2" s="1"/>
  <c r="P56" i="2"/>
  <c r="R56" i="2" s="1"/>
  <c r="T56" i="2" s="1"/>
  <c r="W12" i="2"/>
  <c r="P21" i="2"/>
  <c r="R21" i="2" s="1"/>
  <c r="T21" i="2" s="1"/>
  <c r="P89" i="2"/>
  <c r="R89" i="2" s="1"/>
  <c r="T89" i="2" s="1"/>
  <c r="P79" i="2"/>
  <c r="R79" i="2" s="1"/>
  <c r="T79" i="2" s="1"/>
  <c r="P26" i="2"/>
  <c r="R26" i="2" s="1"/>
  <c r="T26" i="2" s="1"/>
  <c r="P51" i="2"/>
  <c r="R51" i="2" s="1"/>
  <c r="T51" i="2" s="1"/>
  <c r="P45" i="2"/>
  <c r="R45" i="2" s="1"/>
  <c r="T45" i="2" s="1"/>
  <c r="P24" i="2"/>
  <c r="R24" i="2" s="1"/>
  <c r="T24" i="2" s="1"/>
  <c r="W10" i="2"/>
  <c r="P65" i="2"/>
  <c r="R65" i="2" s="1"/>
  <c r="T65" i="2" s="1"/>
  <c r="P80" i="2"/>
  <c r="R80" i="2" s="1"/>
  <c r="T80" i="2" s="1"/>
  <c r="P27" i="2"/>
  <c r="R27" i="2" s="1"/>
  <c r="T27" i="2" s="1"/>
  <c r="P77" i="2"/>
  <c r="R77" i="2" s="1"/>
  <c r="T77" i="2" s="1"/>
  <c r="P83" i="2"/>
  <c r="R83" i="2" s="1"/>
  <c r="T83" i="2" s="1"/>
  <c r="P31" i="2"/>
  <c r="R31" i="2" s="1"/>
  <c r="T31" i="2" s="1"/>
  <c r="P73" i="2"/>
  <c r="R73" i="2" s="1"/>
  <c r="T73" i="2" s="1"/>
  <c r="P44" i="2"/>
  <c r="R44" i="2" s="1"/>
  <c r="T44" i="2" s="1"/>
  <c r="P54" i="2"/>
  <c r="R54" i="2" s="1"/>
  <c r="T54" i="2" s="1"/>
  <c r="P58" i="2"/>
  <c r="R58" i="2" s="1"/>
  <c r="T58" i="2" s="1"/>
  <c r="P59" i="2"/>
  <c r="R59" i="2" s="1"/>
  <c r="T59" i="2" s="1"/>
  <c r="P42" i="2"/>
  <c r="R42" i="2" s="1"/>
  <c r="T42" i="2" s="1"/>
  <c r="W14" i="2"/>
  <c r="P33" i="2"/>
  <c r="R33" i="2" s="1"/>
  <c r="T33" i="2" s="1"/>
  <c r="D15" i="2"/>
  <c r="C19" i="2" s="1"/>
  <c r="P64" i="2"/>
  <c r="R64" i="2" s="1"/>
  <c r="T64" i="2" s="1"/>
  <c r="P88" i="2"/>
  <c r="R88" i="2" s="1"/>
  <c r="T88" i="2" s="1"/>
  <c r="P53" i="2"/>
  <c r="R53" i="2" s="1"/>
  <c r="T53" i="2" s="1"/>
  <c r="P69" i="2"/>
  <c r="R69" i="2" s="1"/>
  <c r="T69" i="2" s="1"/>
  <c r="W7" i="2"/>
  <c r="P63" i="2"/>
  <c r="R63" i="2" s="1"/>
  <c r="T63" i="2" s="1"/>
  <c r="P25" i="2"/>
  <c r="R25" i="2" s="1"/>
  <c r="T25" i="2" s="1"/>
  <c r="P43" i="2"/>
  <c r="R43" i="2" s="1"/>
  <c r="T43" i="2" s="1"/>
  <c r="P47" i="2"/>
  <c r="R47" i="2" s="1"/>
  <c r="T47" i="2" s="1"/>
  <c r="W4" i="2"/>
  <c r="P72" i="2"/>
  <c r="R72" i="2" s="1"/>
  <c r="T72" i="2" s="1"/>
  <c r="W6" i="2"/>
  <c r="P67" i="2"/>
  <c r="R67" i="2" s="1"/>
  <c r="T67" i="2" s="1"/>
  <c r="W8" i="2"/>
  <c r="P41" i="2"/>
  <c r="R41" i="2" s="1"/>
  <c r="T41" i="2" s="1"/>
  <c r="W2" i="2"/>
  <c r="W9" i="2"/>
  <c r="P85" i="2"/>
  <c r="R85" i="2" s="1"/>
  <c r="T85" i="2" s="1"/>
  <c r="P78" i="2"/>
  <c r="R78" i="2" s="1"/>
  <c r="T78" i="2" s="1"/>
  <c r="P70" i="2"/>
  <c r="R70" i="2" s="1"/>
  <c r="T70" i="2" s="1"/>
  <c r="W15" i="2"/>
  <c r="P84" i="2"/>
  <c r="R84" i="2" s="1"/>
  <c r="T84" i="2" s="1"/>
  <c r="P38" i="2"/>
  <c r="R38" i="2" s="1"/>
  <c r="T38" i="2" s="1"/>
  <c r="C18" i="2" l="1"/>
  <c r="F18" i="2"/>
  <c r="F19" i="2" s="1"/>
  <c r="E14" i="2"/>
</calcChain>
</file>

<file path=xl/sharedStrings.xml><?xml version="1.0" encoding="utf-8"?>
<sst xmlns="http://schemas.openxmlformats.org/spreadsheetml/2006/main" count="806" uniqueCount="328">
  <si>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</si>
  <si>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</si>
  <si>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</si>
  <si>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</si>
  <si>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</si>
  <si>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</si>
  <si>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</si>
  <si>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</si>
  <si>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</si>
  <si>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</si>
  <si>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</si>
  <si>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</si>
  <si>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</si>
  <si>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</si>
  <si>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</si>
  <si>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</si>
  <si>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</si>
  <si>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</si>
  <si>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</si>
  <si>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</si>
  <si>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</si>
  <si>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</si>
  <si>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</si>
  <si>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</si>
  <si>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</si>
  <si>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</si>
  <si>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</si>
  <si>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</si>
  <si>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</si>
  <si>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</si>
  <si>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</si>
  <si>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</si>
  <si>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</si>
  <si>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EB/KE</t>
  </si>
  <si>
    <t>IBVS 5296</t>
  </si>
  <si>
    <t>IBVS 5484</t>
  </si>
  <si>
    <t>I</t>
  </si>
  <si>
    <t>II</t>
  </si>
  <si>
    <t>IBVS 5024</t>
  </si>
  <si>
    <t>not avail.</t>
  </si>
  <si>
    <t>V441 Lac / GSC 03969-02430</t>
  </si>
  <si>
    <t>IBVS 5657</t>
  </si>
  <si>
    <t>ToMcat</t>
  </si>
  <si>
    <t>See page B for a better operiod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</si>
  <si>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</si>
  <si>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</si>
  <si>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</si>
  <si>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</si>
  <si>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</si>
  <si>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</si>
  <si>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</si>
  <si>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</si>
  <si>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Verified by</t>
  </si>
  <si>
    <t>Start of linear fit &gt;&gt;&gt;&gt;&gt;&gt;&gt;&gt;&gt;&gt;&gt;&gt;&gt;&gt;&gt;&gt;&gt;&gt;&gt;&gt;&gt;</t>
  </si>
  <si>
    <t>Add cycle</t>
  </si>
  <si>
    <t>Old Cycle</t>
  </si>
  <si>
    <t>IBVS 5960</t>
  </si>
  <si>
    <t>IBVS 5959</t>
  </si>
  <si>
    <t>IBVS 6070</t>
  </si>
  <si>
    <t>IBVS 6118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</si>
  <si>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</si>
  <si>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</si>
  <si>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</si>
  <si>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</si>
  <si>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</si>
  <si>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</si>
  <si>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</si>
  <si>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</si>
  <si>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</si>
  <si>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</si>
  <si>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</si>
  <si>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</si>
  <si>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</si>
  <si>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</si>
  <si>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</si>
  <si>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</si>
  <si>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</si>
  <si>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</si>
  <si>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</si>
  <si>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2451771.3699 </t>
  </si>
  <si>
    <t> 14.08.2000 20:52 </t>
  </si>
  <si>
    <t> 0.0642 </t>
  </si>
  <si>
    <t>E </t>
  </si>
  <si>
    <t>o</t>
  </si>
  <si>
    <t> F.Agerer </t>
  </si>
  <si>
    <t>BAVM 135 </t>
  </si>
  <si>
    <t>2451771.5226 </t>
  </si>
  <si>
    <t> 15.08.2000 00:32 </t>
  </si>
  <si>
    <t> 0.0625 </t>
  </si>
  <si>
    <t>2451816.314 </t>
  </si>
  <si>
    <t> 28.09.2000 19:32 </t>
  </si>
  <si>
    <t> 0.061 </t>
  </si>
  <si>
    <t>2451816.4691 </t>
  </si>
  <si>
    <t> 28.09.2000 23:15 </t>
  </si>
  <si>
    <t> 0.0612 </t>
  </si>
  <si>
    <t>2451816.6221 </t>
  </si>
  <si>
    <t> 29.09.2000 02:55 </t>
  </si>
  <si>
    <t> 0.0597 </t>
  </si>
  <si>
    <t>2451817.5489 </t>
  </si>
  <si>
    <t> 30.09.2000 01:10 </t>
  </si>
  <si>
    <t> 0.0598 </t>
  </si>
  <si>
    <t>2451838.5548 </t>
  </si>
  <si>
    <t> 21.10.2000 01:18 </t>
  </si>
  <si>
    <t> 0.0592 </t>
  </si>
  <si>
    <t>2451839.3283 </t>
  </si>
  <si>
    <t> 21.10.2000 19:52 </t>
  </si>
  <si>
    <t> 0.0604 </t>
  </si>
  <si>
    <t>2451839.4831 </t>
  </si>
  <si>
    <t> 21.10.2000 23:35 </t>
  </si>
  <si>
    <t> 0.0607 </t>
  </si>
  <si>
    <t>2451890.289 </t>
  </si>
  <si>
    <t> 11.12.2000 18:56 </t>
  </si>
  <si>
    <t> 0.049 </t>
  </si>
  <si>
    <t>2451901.2644 </t>
  </si>
  <si>
    <t> 22.12.2000 18:20 </t>
  </si>
  <si>
    <t> 0.0581 </t>
  </si>
  <si>
    <t>BAVM 152 </t>
  </si>
  <si>
    <t>2452083.5210 </t>
  </si>
  <si>
    <t> 23.06.2001 00:30 </t>
  </si>
  <si>
    <t> 0.0523 </t>
  </si>
  <si>
    <t>2452084.4474 </t>
  </si>
  <si>
    <t> 23.06.2001 22:44 </t>
  </si>
  <si>
    <t> 0.0519 </t>
  </si>
  <si>
    <t>2452113.4867 </t>
  </si>
  <si>
    <t> 22.07.2001 23:40 </t>
  </si>
  <si>
    <t> 0.0528 </t>
  </si>
  <si>
    <t>2452134.4929 </t>
  </si>
  <si>
    <t> 12.08.2001 23:49 </t>
  </si>
  <si>
    <t> 0.0525 </t>
  </si>
  <si>
    <t>2452194.4180 </t>
  </si>
  <si>
    <t> 11.10.2001 22:01 </t>
  </si>
  <si>
    <t> 0.0472 </t>
  </si>
  <si>
    <t>2452194.5744 </t>
  </si>
  <si>
    <t> 12.10.2001 01:47 </t>
  </si>
  <si>
    <t> 0.0491 </t>
  </si>
  <si>
    <t>2452228.4033 </t>
  </si>
  <si>
    <t> 14.11.2001 21:40 </t>
  </si>
  <si>
    <t> 0.0514 </t>
  </si>
  <si>
    <t>2452228.5577 </t>
  </si>
  <si>
    <t> 15.11.2001 01:23 </t>
  </si>
  <si>
    <t> 0.0513 </t>
  </si>
  <si>
    <t>2452505.4952 </t>
  </si>
  <si>
    <t> 18.08.2002 23:53 </t>
  </si>
  <si>
    <t> 0.0426 </t>
  </si>
  <si>
    <t>-I</t>
  </si>
  <si>
    <t>BAVM 158 </t>
  </si>
  <si>
    <t>2452617.3218 </t>
  </si>
  <si>
    <t> 08.12.2002 19:43 </t>
  </si>
  <si>
    <t>379</t>
  </si>
  <si>
    <t> 0.0403 </t>
  </si>
  <si>
    <t>2452621.3363 </t>
  </si>
  <si>
    <t> 12.12.2002 20:04 </t>
  </si>
  <si>
    <t>392</t>
  </si>
  <si>
    <t> 0.0389 </t>
  </si>
  <si>
    <t>2452875.4197 </t>
  </si>
  <si>
    <t> 23.08.2003 22:04 </t>
  </si>
  <si>
    <t>1214.5</t>
  </si>
  <si>
    <t> 0.0361 </t>
  </si>
  <si>
    <t>BAVM 173 </t>
  </si>
  <si>
    <t>2453222.4834 </t>
  </si>
  <si>
    <t> 04.08.2004 23:36 </t>
  </si>
  <si>
    <t>2338</t>
  </si>
  <si>
    <t> 0.0288 </t>
  </si>
  <si>
    <t>2453226.5004 </t>
  </si>
  <si>
    <t> 09.08.2004 00:00 </t>
  </si>
  <si>
    <t>2351</t>
  </si>
  <si>
    <t> 0.0299 </t>
  </si>
  <si>
    <t>2453242.4039 </t>
  </si>
  <si>
    <t> 24.08.2004 21:41 </t>
  </si>
  <si>
    <t>2402.5</t>
  </si>
  <si>
    <t> 0.0240 </t>
  </si>
  <si>
    <t>2453255.3831 </t>
  </si>
  <si>
    <t> 06.09.2004 21:11 </t>
  </si>
  <si>
    <t>2444.5</t>
  </si>
  <si>
    <t> 0.0286 </t>
  </si>
  <si>
    <t>2453255.5357 </t>
  </si>
  <si>
    <t> 07.09.2004 00:51 </t>
  </si>
  <si>
    <t>2445</t>
  </si>
  <si>
    <t> 0.0268 </t>
  </si>
  <si>
    <t>2453256.4653 </t>
  </si>
  <si>
    <t> 07.09.2004 23:10 </t>
  </si>
  <si>
    <t>2448</t>
  </si>
  <si>
    <t> 0.0296 </t>
  </si>
  <si>
    <t>2453258.4723 </t>
  </si>
  <si>
    <t> 09.09.2004 23:20 </t>
  </si>
  <si>
    <t>2454.5</t>
  </si>
  <si>
    <t>2453259.4008 </t>
  </si>
  <si>
    <t> 10.09.2004 21:37 </t>
  </si>
  <si>
    <t>2457.5</t>
  </si>
  <si>
    <t> 0.0304 </t>
  </si>
  <si>
    <t>2453259.5528 </t>
  </si>
  <si>
    <t> 11.09.2004 01:16 </t>
  </si>
  <si>
    <t>2458</t>
  </si>
  <si>
    <t> 0.0279 </t>
  </si>
  <si>
    <t>2453614.5041 </t>
  </si>
  <si>
    <t> 01.09.2005 00:05 </t>
  </si>
  <si>
    <t>3607</t>
  </si>
  <si>
    <t> 0.0308 </t>
  </si>
  <si>
    <t>C </t>
  </si>
  <si>
    <t> Agerer </t>
  </si>
  <si>
    <t>BAVM 178 </t>
  </si>
  <si>
    <t>2453653.4210 </t>
  </si>
  <si>
    <t> 09.10.2005 22:06 </t>
  </si>
  <si>
    <t>3733</t>
  </si>
  <si>
    <t> 0.0239 </t>
  </si>
  <si>
    <t>2453932.5262 </t>
  </si>
  <si>
    <t> 16.07.2006 00:37 </t>
  </si>
  <si>
    <t>4636.5</t>
  </si>
  <si>
    <t> 0.0204 </t>
  </si>
  <si>
    <t>2454031.3758 </t>
  </si>
  <si>
    <t> 22.10.2006 21:01 </t>
  </si>
  <si>
    <t>4956.5</t>
  </si>
  <si>
    <t> 0.0158 </t>
  </si>
  <si>
    <t> F. Agerer </t>
  </si>
  <si>
    <t>BAVM 183 </t>
  </si>
  <si>
    <t>2454718.4054 </t>
  </si>
  <si>
    <t> 08.09.2008 21:43 </t>
  </si>
  <si>
    <t>7180.5</t>
  </si>
  <si>
    <t> 0.0086 </t>
  </si>
  <si>
    <t>BAVM 215 </t>
  </si>
  <si>
    <t>2454718.5595 </t>
  </si>
  <si>
    <t> 09.09.2008 01:25 </t>
  </si>
  <si>
    <t>7181</t>
  </si>
  <si>
    <t> 0.0083 </t>
  </si>
  <si>
    <t>2455058.5237 </t>
  </si>
  <si>
    <t> 15.08.2009 00:34 </t>
  </si>
  <si>
    <t>8281.5</t>
  </si>
  <si>
    <t> 0.0067 </t>
  </si>
  <si>
    <t>BAVM 212 </t>
  </si>
  <si>
    <t>2455062.3821 </t>
  </si>
  <si>
    <t> 18.08.2009 21:10 </t>
  </si>
  <si>
    <t>8294</t>
  </si>
  <si>
    <t> 0.0036 </t>
  </si>
  <si>
    <t>2455062.5379 </t>
  </si>
  <si>
    <t> 19.08.2009 00:54 </t>
  </si>
  <si>
    <t>8294.5</t>
  </si>
  <si>
    <t> 0.0049 </t>
  </si>
  <si>
    <t>2455309.5174 </t>
  </si>
  <si>
    <t> 23.04.2010 00:25 </t>
  </si>
  <si>
    <t>9094</t>
  </si>
  <si>
    <t> 0.0034 </t>
  </si>
  <si>
    <t>BAVM 214 </t>
  </si>
  <si>
    <t>2455463.3571 </t>
  </si>
  <si>
    <t> 23.09.2010 20:34 </t>
  </si>
  <si>
    <t>9592</t>
  </si>
  <si>
    <t> 0.0012 </t>
  </si>
  <si>
    <t>2455463.5131 </t>
  </si>
  <si>
    <t> 24.09.2010 00:18 </t>
  </si>
  <si>
    <t>9592.5</t>
  </si>
  <si>
    <t> 0.0028 </t>
  </si>
  <si>
    <t>2455477.7211 </t>
  </si>
  <si>
    <t> 08.10.2010 05:18 </t>
  </si>
  <si>
    <t>9638.5</t>
  </si>
  <si>
    <t> 0.0005 </t>
  </si>
  <si>
    <t> R.Diethelm </t>
  </si>
  <si>
    <t>IBVS 5960 </t>
  </si>
  <si>
    <t>2455806.4070 </t>
  </si>
  <si>
    <t> 01.09.2011 21:46 </t>
  </si>
  <si>
    <t>10702.5</t>
  </si>
  <si>
    <t> -0.0039 </t>
  </si>
  <si>
    <t>BAVM 225 </t>
  </si>
  <si>
    <t>2455806.5648 </t>
  </si>
  <si>
    <t> 02.09.2011 01:33 </t>
  </si>
  <si>
    <t>10703</t>
  </si>
  <si>
    <t> -0.0005 </t>
  </si>
  <si>
    <t>2455808.4186 </t>
  </si>
  <si>
    <t> 03.09.2011 22:02 </t>
  </si>
  <si>
    <t>10709</t>
  </si>
  <si>
    <t> -0.0003 </t>
  </si>
  <si>
    <t>2455839.3121 </t>
  </si>
  <si>
    <t> 04.10.2011 19:29 </t>
  </si>
  <si>
    <t>10809</t>
  </si>
  <si>
    <t> 0.0013 </t>
  </si>
  <si>
    <t>2455839.4642 </t>
  </si>
  <si>
    <t> 04.10.2011 23:08 </t>
  </si>
  <si>
    <t>10809.5</t>
  </si>
  <si>
    <t> -0.0011 </t>
  </si>
  <si>
    <t>2455873.2928 </t>
  </si>
  <si>
    <t> 07.11.2011 19:01 </t>
  </si>
  <si>
    <t>10919</t>
  </si>
  <si>
    <t> 0.0009 </t>
  </si>
  <si>
    <t>2456187.4619 </t>
  </si>
  <si>
    <t> 16.09.2012 23:05 </t>
  </si>
  <si>
    <t>11936</t>
  </si>
  <si>
    <t>BAVM 231 </t>
  </si>
  <si>
    <t>2456187.6135 </t>
  </si>
  <si>
    <t> 17.09.2012 02:43 </t>
  </si>
  <si>
    <t>11936.5</t>
  </si>
  <si>
    <t>2456590.2932 </t>
  </si>
  <si>
    <t> 24.10.2013 19:02 </t>
  </si>
  <si>
    <t>13240</t>
  </si>
  <si>
    <t> -0.0007 </t>
  </si>
  <si>
    <t>BAVM 234 </t>
  </si>
  <si>
    <t>2456590.446 </t>
  </si>
  <si>
    <t> 24.10.2013 22:42 </t>
  </si>
  <si>
    <t>13240.5</t>
  </si>
  <si>
    <t> -0.002 </t>
  </si>
  <si>
    <t>2456592.3027 </t>
  </si>
  <si>
    <t> 26.10.2013 19:15 </t>
  </si>
  <si>
    <t>13246.5</t>
  </si>
  <si>
    <t>2456592.4559 </t>
  </si>
  <si>
    <t> 26.10.2013 22:56 </t>
  </si>
  <si>
    <t>13247</t>
  </si>
  <si>
    <t> -0.0004 </t>
  </si>
  <si>
    <t>2456600.3327 </t>
  </si>
  <si>
    <t> 03.11.2013 19:59 </t>
  </si>
  <si>
    <t>13272.5</t>
  </si>
  <si>
    <t> -0.0010 </t>
  </si>
  <si>
    <t>2456600.487 </t>
  </si>
  <si>
    <t> 03.11.2013 23:41 </t>
  </si>
  <si>
    <t>13273</t>
  </si>
  <si>
    <t> -0.001 </t>
  </si>
  <si>
    <t>2456934.2735 </t>
  </si>
  <si>
    <t> 03.10.2014 18:33 </t>
  </si>
  <si>
    <t>14353.5</t>
  </si>
  <si>
    <t> -0.0021 </t>
  </si>
  <si>
    <t>BAVM 239 </t>
  </si>
  <si>
    <t>2456934.4287 </t>
  </si>
  <si>
    <t> 03.10.2014 22:17 </t>
  </si>
  <si>
    <t>14354</t>
  </si>
  <si>
    <t> -0.0014 </t>
  </si>
  <si>
    <t>2456934.5833 </t>
  </si>
  <si>
    <t> 04.10.2014 01:59 </t>
  </si>
  <si>
    <t>14354.5</t>
  </si>
  <si>
    <t> -0.0012 </t>
  </si>
  <si>
    <t>IBVS 6196</t>
  </si>
  <si>
    <t>IBVS 6230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</si>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</sst>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6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9" fillId="0" borderId="0" xfId="0" applyNumberFormat="1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22" fontId="11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6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/>
    <xf numFmtId="0" fontId="2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9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3" fillId="24" borderId="24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wrapText="1"/>
    </xf>
    <xf numFmtId="0" fontId="42" fillId="0" borderId="0" xfId="43" applyFont="1" applyAlignment="1">
      <alignment horizontal="left"/>
    </xf>
    <xf numFmtId="0" fontId="42" fillId="0" borderId="0" xfId="43" applyFont="1" applyAlignment="1">
      <alignment horizontal="center" wrapText="1"/>
    </xf>
    <xf numFmtId="0" fontId="42" fillId="0" borderId="0" xfId="43" applyFont="1" applyAlignment="1">
      <alignment horizontal="left" wrapText="1"/>
    </xf>
    <xf numFmtId="0" fontId="0" fillId="25" borderId="0" xfId="0" applyFill="1" applyAlignment="1"/>
    <xf numFmtId="0" fontId="42" fillId="0" borderId="0" xfId="42" applyFont="1"/>
    <xf numFmtId="0" fontId="42" fillId="0" borderId="0" xfId="42" applyFont="1" applyAlignment="1">
      <alignment horizontal="center"/>
    </xf>
    <xf numFmtId="0" fontId="42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V441 Lac - O-C Diagr.</a:t>
            </a:r>
          </a:p>
        </c:rich>
      </c:tx>
      <c:layout>
        <c:manualLayout>
          <c:xMode val="edge"/>
          <c:yMode val="edge"/>
          <c:x val="0.3667208561773073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545497589659059"/>
          <c:w val="0.8093705899846258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-4</c:v>
                </c:pt>
                <c:pt idx="4">
                  <c:v>-3.5</c:v>
                </c:pt>
                <c:pt idx="5">
                  <c:v>-3</c:v>
                </c:pt>
                <c:pt idx="6">
                  <c:v>0</c:v>
                </c:pt>
                <c:pt idx="7">
                  <c:v>68</c:v>
                </c:pt>
                <c:pt idx="8">
                  <c:v>70.5</c:v>
                </c:pt>
                <c:pt idx="9">
                  <c:v>71</c:v>
                </c:pt>
                <c:pt idx="10">
                  <c:v>234.5</c:v>
                </c:pt>
                <c:pt idx="11">
                  <c:v>235.5</c:v>
                </c:pt>
                <c:pt idx="12">
                  <c:v>271</c:v>
                </c:pt>
                <c:pt idx="13">
                  <c:v>861</c:v>
                </c:pt>
                <c:pt idx="14">
                  <c:v>864</c:v>
                </c:pt>
                <c:pt idx="15">
                  <c:v>958</c:v>
                </c:pt>
                <c:pt idx="16">
                  <c:v>1026</c:v>
                </c:pt>
                <c:pt idx="17">
                  <c:v>1220</c:v>
                </c:pt>
                <c:pt idx="18">
                  <c:v>1220.5</c:v>
                </c:pt>
                <c:pt idx="19">
                  <c:v>1330</c:v>
                </c:pt>
                <c:pt idx="20">
                  <c:v>1330.5</c:v>
                </c:pt>
                <c:pt idx="21">
                  <c:v>2227</c:v>
                </c:pt>
                <c:pt idx="22">
                  <c:v>2589</c:v>
                </c:pt>
                <c:pt idx="23">
                  <c:v>2602</c:v>
                </c:pt>
                <c:pt idx="24">
                  <c:v>3424.5</c:v>
                </c:pt>
                <c:pt idx="25">
                  <c:v>4548</c:v>
                </c:pt>
                <c:pt idx="26">
                  <c:v>4561</c:v>
                </c:pt>
                <c:pt idx="27">
                  <c:v>4612.5</c:v>
                </c:pt>
                <c:pt idx="28">
                  <c:v>4654.5</c:v>
                </c:pt>
                <c:pt idx="29">
                  <c:v>4655</c:v>
                </c:pt>
                <c:pt idx="30">
                  <c:v>4658</c:v>
                </c:pt>
                <c:pt idx="31">
                  <c:v>4664.5</c:v>
                </c:pt>
                <c:pt idx="32">
                  <c:v>4667.5</c:v>
                </c:pt>
                <c:pt idx="33">
                  <c:v>4668</c:v>
                </c:pt>
                <c:pt idx="34">
                  <c:v>5817</c:v>
                </c:pt>
                <c:pt idx="35">
                  <c:v>5943</c:v>
                </c:pt>
                <c:pt idx="36">
                  <c:v>6846.5</c:v>
                </c:pt>
                <c:pt idx="37">
                  <c:v>7166.5</c:v>
                </c:pt>
                <c:pt idx="38">
                  <c:v>9390.5</c:v>
                </c:pt>
                <c:pt idx="39">
                  <c:v>9391</c:v>
                </c:pt>
                <c:pt idx="40">
                  <c:v>10491.5</c:v>
                </c:pt>
                <c:pt idx="41">
                  <c:v>10504</c:v>
                </c:pt>
                <c:pt idx="42">
                  <c:v>10504.5</c:v>
                </c:pt>
                <c:pt idx="43">
                  <c:v>11304</c:v>
                </c:pt>
                <c:pt idx="44">
                  <c:v>11802</c:v>
                </c:pt>
                <c:pt idx="45">
                  <c:v>11802.5</c:v>
                </c:pt>
                <c:pt idx="46">
                  <c:v>11848.5</c:v>
                </c:pt>
                <c:pt idx="47">
                  <c:v>12912.5</c:v>
                </c:pt>
                <c:pt idx="48">
                  <c:v>12913</c:v>
                </c:pt>
                <c:pt idx="49">
                  <c:v>12919</c:v>
                </c:pt>
                <c:pt idx="50">
                  <c:v>13019</c:v>
                </c:pt>
                <c:pt idx="51">
                  <c:v>13019.5</c:v>
                </c:pt>
                <c:pt idx="52">
                  <c:v>13129</c:v>
                </c:pt>
                <c:pt idx="53">
                  <c:v>14146</c:v>
                </c:pt>
                <c:pt idx="54">
                  <c:v>14146.5</c:v>
                </c:pt>
                <c:pt idx="55">
                  <c:v>14162</c:v>
                </c:pt>
                <c:pt idx="56">
                  <c:v>15450</c:v>
                </c:pt>
                <c:pt idx="57">
                  <c:v>15450.5</c:v>
                </c:pt>
                <c:pt idx="58">
                  <c:v>15456.5</c:v>
                </c:pt>
                <c:pt idx="59">
                  <c:v>15457</c:v>
                </c:pt>
                <c:pt idx="60">
                  <c:v>15482.5</c:v>
                </c:pt>
                <c:pt idx="61">
                  <c:v>15483</c:v>
                </c:pt>
                <c:pt idx="62">
                  <c:v>16563.5</c:v>
                </c:pt>
                <c:pt idx="63">
                  <c:v>16564</c:v>
                </c:pt>
                <c:pt idx="64">
                  <c:v>16564.5</c:v>
                </c:pt>
                <c:pt idx="65">
                  <c:v>17894.5</c:v>
                </c:pt>
                <c:pt idx="66">
                  <c:v>19998.5</c:v>
                </c:pt>
                <c:pt idx="67">
                  <c:v>19999</c:v>
                </c:pt>
                <c:pt idx="68">
                  <c:v>19765.5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D-41A2-9148-8B7E6AC33A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-4</c:v>
                </c:pt>
                <c:pt idx="4">
                  <c:v>-3.5</c:v>
                </c:pt>
                <c:pt idx="5">
                  <c:v>-3</c:v>
                </c:pt>
                <c:pt idx="6">
                  <c:v>0</c:v>
                </c:pt>
                <c:pt idx="7">
                  <c:v>68</c:v>
                </c:pt>
                <c:pt idx="8">
                  <c:v>70.5</c:v>
                </c:pt>
                <c:pt idx="9">
                  <c:v>71</c:v>
                </c:pt>
                <c:pt idx="10">
                  <c:v>234.5</c:v>
                </c:pt>
                <c:pt idx="11">
                  <c:v>235.5</c:v>
                </c:pt>
                <c:pt idx="12">
                  <c:v>271</c:v>
                </c:pt>
                <c:pt idx="13">
                  <c:v>861</c:v>
                </c:pt>
                <c:pt idx="14">
                  <c:v>864</c:v>
                </c:pt>
                <c:pt idx="15">
                  <c:v>958</c:v>
                </c:pt>
                <c:pt idx="16">
                  <c:v>1026</c:v>
                </c:pt>
                <c:pt idx="17">
                  <c:v>1220</c:v>
                </c:pt>
                <c:pt idx="18">
                  <c:v>1220.5</c:v>
                </c:pt>
                <c:pt idx="19">
                  <c:v>1330</c:v>
                </c:pt>
                <c:pt idx="20">
                  <c:v>1330.5</c:v>
                </c:pt>
                <c:pt idx="21">
                  <c:v>2227</c:v>
                </c:pt>
                <c:pt idx="22">
                  <c:v>2589</c:v>
                </c:pt>
                <c:pt idx="23">
                  <c:v>2602</c:v>
                </c:pt>
                <c:pt idx="24">
                  <c:v>3424.5</c:v>
                </c:pt>
                <c:pt idx="25">
                  <c:v>4548</c:v>
                </c:pt>
                <c:pt idx="26">
                  <c:v>4561</c:v>
                </c:pt>
                <c:pt idx="27">
                  <c:v>4612.5</c:v>
                </c:pt>
                <c:pt idx="28">
                  <c:v>4654.5</c:v>
                </c:pt>
                <c:pt idx="29">
                  <c:v>4655</c:v>
                </c:pt>
                <c:pt idx="30">
                  <c:v>4658</c:v>
                </c:pt>
                <c:pt idx="31">
                  <c:v>4664.5</c:v>
                </c:pt>
                <c:pt idx="32">
                  <c:v>4667.5</c:v>
                </c:pt>
                <c:pt idx="33">
                  <c:v>4668</c:v>
                </c:pt>
                <c:pt idx="34">
                  <c:v>5817</c:v>
                </c:pt>
                <c:pt idx="35">
                  <c:v>5943</c:v>
                </c:pt>
                <c:pt idx="36">
                  <c:v>6846.5</c:v>
                </c:pt>
                <c:pt idx="37">
                  <c:v>7166.5</c:v>
                </c:pt>
                <c:pt idx="38">
                  <c:v>9390.5</c:v>
                </c:pt>
                <c:pt idx="39">
                  <c:v>9391</c:v>
                </c:pt>
                <c:pt idx="40">
                  <c:v>10491.5</c:v>
                </c:pt>
                <c:pt idx="41">
                  <c:v>10504</c:v>
                </c:pt>
                <c:pt idx="42">
                  <c:v>10504.5</c:v>
                </c:pt>
                <c:pt idx="43">
                  <c:v>11304</c:v>
                </c:pt>
                <c:pt idx="44">
                  <c:v>11802</c:v>
                </c:pt>
                <c:pt idx="45">
                  <c:v>11802.5</c:v>
                </c:pt>
                <c:pt idx="46">
                  <c:v>11848.5</c:v>
                </c:pt>
                <c:pt idx="47">
                  <c:v>12912.5</c:v>
                </c:pt>
                <c:pt idx="48">
                  <c:v>12913</c:v>
                </c:pt>
                <c:pt idx="49">
                  <c:v>12919</c:v>
                </c:pt>
                <c:pt idx="50">
                  <c:v>13019</c:v>
                </c:pt>
                <c:pt idx="51">
                  <c:v>13019.5</c:v>
                </c:pt>
                <c:pt idx="52">
                  <c:v>13129</c:v>
                </c:pt>
                <c:pt idx="53">
                  <c:v>14146</c:v>
                </c:pt>
                <c:pt idx="54">
                  <c:v>14146.5</c:v>
                </c:pt>
                <c:pt idx="55">
                  <c:v>14162</c:v>
                </c:pt>
                <c:pt idx="56">
                  <c:v>15450</c:v>
                </c:pt>
                <c:pt idx="57">
                  <c:v>15450.5</c:v>
                </c:pt>
                <c:pt idx="58">
                  <c:v>15456.5</c:v>
                </c:pt>
                <c:pt idx="59">
                  <c:v>15457</c:v>
                </c:pt>
                <c:pt idx="60">
                  <c:v>15482.5</c:v>
                </c:pt>
                <c:pt idx="61">
                  <c:v>15483</c:v>
                </c:pt>
                <c:pt idx="62">
                  <c:v>16563.5</c:v>
                </c:pt>
                <c:pt idx="63">
                  <c:v>16564</c:v>
                </c:pt>
                <c:pt idx="64">
                  <c:v>16564.5</c:v>
                </c:pt>
                <c:pt idx="65">
                  <c:v>17894.5</c:v>
                </c:pt>
                <c:pt idx="66">
                  <c:v>19998.5</c:v>
                </c:pt>
                <c:pt idx="67">
                  <c:v>19999</c:v>
                </c:pt>
                <c:pt idx="68">
                  <c:v>19765.5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3">
                  <c:v>1.4799999917158857E-4</c:v>
                </c:pt>
                <c:pt idx="11">
                  <c:v>-9.2760000043199398E-3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D-41A2-9148-8B7E6AC33A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-4</c:v>
                </c:pt>
                <c:pt idx="4">
                  <c:v>-3.5</c:v>
                </c:pt>
                <c:pt idx="5">
                  <c:v>-3</c:v>
                </c:pt>
                <c:pt idx="6">
                  <c:v>0</c:v>
                </c:pt>
                <c:pt idx="7">
                  <c:v>68</c:v>
                </c:pt>
                <c:pt idx="8">
                  <c:v>70.5</c:v>
                </c:pt>
                <c:pt idx="9">
                  <c:v>71</c:v>
                </c:pt>
                <c:pt idx="10">
                  <c:v>234.5</c:v>
                </c:pt>
                <c:pt idx="11">
                  <c:v>235.5</c:v>
                </c:pt>
                <c:pt idx="12">
                  <c:v>271</c:v>
                </c:pt>
                <c:pt idx="13">
                  <c:v>861</c:v>
                </c:pt>
                <c:pt idx="14">
                  <c:v>864</c:v>
                </c:pt>
                <c:pt idx="15">
                  <c:v>958</c:v>
                </c:pt>
                <c:pt idx="16">
                  <c:v>1026</c:v>
                </c:pt>
                <c:pt idx="17">
                  <c:v>1220</c:v>
                </c:pt>
                <c:pt idx="18">
                  <c:v>1220.5</c:v>
                </c:pt>
                <c:pt idx="19">
                  <c:v>1330</c:v>
                </c:pt>
                <c:pt idx="20">
                  <c:v>1330.5</c:v>
                </c:pt>
                <c:pt idx="21">
                  <c:v>2227</c:v>
                </c:pt>
                <c:pt idx="22">
                  <c:v>2589</c:v>
                </c:pt>
                <c:pt idx="23">
                  <c:v>2602</c:v>
                </c:pt>
                <c:pt idx="24">
                  <c:v>3424.5</c:v>
                </c:pt>
                <c:pt idx="25">
                  <c:v>4548</c:v>
                </c:pt>
                <c:pt idx="26">
                  <c:v>4561</c:v>
                </c:pt>
                <c:pt idx="27">
                  <c:v>4612.5</c:v>
                </c:pt>
                <c:pt idx="28">
                  <c:v>4654.5</c:v>
                </c:pt>
                <c:pt idx="29">
                  <c:v>4655</c:v>
                </c:pt>
                <c:pt idx="30">
                  <c:v>4658</c:v>
                </c:pt>
                <c:pt idx="31">
                  <c:v>4664.5</c:v>
                </c:pt>
                <c:pt idx="32">
                  <c:v>4667.5</c:v>
                </c:pt>
                <c:pt idx="33">
                  <c:v>4668</c:v>
                </c:pt>
                <c:pt idx="34">
                  <c:v>5817</c:v>
                </c:pt>
                <c:pt idx="35">
                  <c:v>5943</c:v>
                </c:pt>
                <c:pt idx="36">
                  <c:v>6846.5</c:v>
                </c:pt>
                <c:pt idx="37">
                  <c:v>7166.5</c:v>
                </c:pt>
                <c:pt idx="38">
                  <c:v>9390.5</c:v>
                </c:pt>
                <c:pt idx="39">
                  <c:v>9391</c:v>
                </c:pt>
                <c:pt idx="40">
                  <c:v>10491.5</c:v>
                </c:pt>
                <c:pt idx="41">
                  <c:v>10504</c:v>
                </c:pt>
                <c:pt idx="42">
                  <c:v>10504.5</c:v>
                </c:pt>
                <c:pt idx="43">
                  <c:v>11304</c:v>
                </c:pt>
                <c:pt idx="44">
                  <c:v>11802</c:v>
                </c:pt>
                <c:pt idx="45">
                  <c:v>11802.5</c:v>
                </c:pt>
                <c:pt idx="46">
                  <c:v>11848.5</c:v>
                </c:pt>
                <c:pt idx="47">
                  <c:v>12912.5</c:v>
                </c:pt>
                <c:pt idx="48">
                  <c:v>12913</c:v>
                </c:pt>
                <c:pt idx="49">
                  <c:v>12919</c:v>
                </c:pt>
                <c:pt idx="50">
                  <c:v>13019</c:v>
                </c:pt>
                <c:pt idx="51">
                  <c:v>13019.5</c:v>
                </c:pt>
                <c:pt idx="52">
                  <c:v>13129</c:v>
                </c:pt>
                <c:pt idx="53">
                  <c:v>14146</c:v>
                </c:pt>
                <c:pt idx="54">
                  <c:v>14146.5</c:v>
                </c:pt>
                <c:pt idx="55">
                  <c:v>14162</c:v>
                </c:pt>
                <c:pt idx="56">
                  <c:v>15450</c:v>
                </c:pt>
                <c:pt idx="57">
                  <c:v>15450.5</c:v>
                </c:pt>
                <c:pt idx="58">
                  <c:v>15456.5</c:v>
                </c:pt>
                <c:pt idx="59">
                  <c:v>15457</c:v>
                </c:pt>
                <c:pt idx="60">
                  <c:v>15482.5</c:v>
                </c:pt>
                <c:pt idx="61">
                  <c:v>15483</c:v>
                </c:pt>
                <c:pt idx="62">
                  <c:v>16563.5</c:v>
                </c:pt>
                <c:pt idx="63">
                  <c:v>16564</c:v>
                </c:pt>
                <c:pt idx="64">
                  <c:v>16564.5</c:v>
                </c:pt>
                <c:pt idx="65">
                  <c:v>17894.5</c:v>
                </c:pt>
                <c:pt idx="66">
                  <c:v>19998.5</c:v>
                </c:pt>
                <c:pt idx="67">
                  <c:v>19999</c:v>
                </c:pt>
                <c:pt idx="68">
                  <c:v>19765.5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2">
                  <c:v>-2.5199999799951911E-4</c:v>
                </c:pt>
                <c:pt idx="13">
                  <c:v>-1.7319999969913624E-3</c:v>
                </c:pt>
                <c:pt idx="14">
                  <c:v>-2.0680000016000122E-3</c:v>
                </c:pt>
                <c:pt idx="15">
                  <c:v>-4.9600000056670979E-4</c:v>
                </c:pt>
                <c:pt idx="16">
                  <c:v>-3.1200000375974923E-4</c:v>
                </c:pt>
                <c:pt idx="17">
                  <c:v>-4.1400000045541674E-3</c:v>
                </c:pt>
                <c:pt idx="18">
                  <c:v>-2.1960000012768432E-3</c:v>
                </c:pt>
                <c:pt idx="19">
                  <c:v>8.4000000060768798E-4</c:v>
                </c:pt>
                <c:pt idx="20">
                  <c:v>7.8399999620160088E-4</c:v>
                </c:pt>
                <c:pt idx="21">
                  <c:v>-1.3240000043879263E-3</c:v>
                </c:pt>
                <c:pt idx="22">
                  <c:v>-8.6800000281073153E-4</c:v>
                </c:pt>
                <c:pt idx="23">
                  <c:v>-2.2239999962039292E-3</c:v>
                </c:pt>
                <c:pt idx="24">
                  <c:v>1.0560000009718351E-3</c:v>
                </c:pt>
                <c:pt idx="25">
                  <c:v>2.1239999987301417E-3</c:v>
                </c:pt>
                <c:pt idx="26">
                  <c:v>3.2679999931133352E-3</c:v>
                </c:pt>
                <c:pt idx="27">
                  <c:v>-2.2000000026309863E-3</c:v>
                </c:pt>
                <c:pt idx="28">
                  <c:v>2.6959999959217384E-3</c:v>
                </c:pt>
                <c:pt idx="29">
                  <c:v>8.4000000060768798E-4</c:v>
                </c:pt>
                <c:pt idx="30">
                  <c:v>3.7040000024717301E-3</c:v>
                </c:pt>
                <c:pt idx="31">
                  <c:v>2.7760000011767261E-3</c:v>
                </c:pt>
                <c:pt idx="32">
                  <c:v>4.5400000017252751E-3</c:v>
                </c:pt>
                <c:pt idx="33">
                  <c:v>2.0839999997406267E-3</c:v>
                </c:pt>
                <c:pt idx="34">
                  <c:v>1.349599999957718E-2</c:v>
                </c:pt>
                <c:pt idx="35">
                  <c:v>7.4840000015683472E-3</c:v>
                </c:pt>
                <c:pt idx="36">
                  <c:v>1.069199999619741E-2</c:v>
                </c:pt>
                <c:pt idx="37">
                  <c:v>8.4520000018528663E-3</c:v>
                </c:pt>
                <c:pt idx="38">
                  <c:v>1.7764000003808178E-2</c:v>
                </c:pt>
                <c:pt idx="39">
                  <c:v>1.7407999999704771E-2</c:v>
                </c:pt>
                <c:pt idx="43">
                  <c:v>2.6651999993191566E-2</c:v>
                </c:pt>
                <c:pt idx="44">
                  <c:v>2.8175999999803025E-2</c:v>
                </c:pt>
                <c:pt idx="45">
                  <c:v>2.9719999998633284E-2</c:v>
                </c:pt>
                <c:pt idx="53">
                  <c:v>4.324800000176765E-2</c:v>
                </c:pt>
                <c:pt idx="54">
                  <c:v>4.0391999995335937E-2</c:v>
                </c:pt>
                <c:pt idx="56">
                  <c:v>5.3299999999580905E-2</c:v>
                </c:pt>
                <c:pt idx="57">
                  <c:v>5.1643999999214429E-2</c:v>
                </c:pt>
                <c:pt idx="58">
                  <c:v>5.4872000000614207E-2</c:v>
                </c:pt>
                <c:pt idx="59">
                  <c:v>5.3615999997418839E-2</c:v>
                </c:pt>
                <c:pt idx="60">
                  <c:v>5.3159999995841645E-2</c:v>
                </c:pt>
                <c:pt idx="61">
                  <c:v>5.3004000001237728E-2</c:v>
                </c:pt>
                <c:pt idx="62">
                  <c:v>6.0088000005634967E-2</c:v>
                </c:pt>
                <c:pt idx="63">
                  <c:v>6.0831999995571095E-2</c:v>
                </c:pt>
                <c:pt idx="64">
                  <c:v>6.0975999993388541E-2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4D-41A2-9148-8B7E6AC33A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-4</c:v>
                </c:pt>
                <c:pt idx="4">
                  <c:v>-3.5</c:v>
                </c:pt>
                <c:pt idx="5">
                  <c:v>-3</c:v>
                </c:pt>
                <c:pt idx="6">
                  <c:v>0</c:v>
                </c:pt>
                <c:pt idx="7">
                  <c:v>68</c:v>
                </c:pt>
                <c:pt idx="8">
                  <c:v>70.5</c:v>
                </c:pt>
                <c:pt idx="9">
                  <c:v>71</c:v>
                </c:pt>
                <c:pt idx="10">
                  <c:v>234.5</c:v>
                </c:pt>
                <c:pt idx="11">
                  <c:v>235.5</c:v>
                </c:pt>
                <c:pt idx="12">
                  <c:v>271</c:v>
                </c:pt>
                <c:pt idx="13">
                  <c:v>861</c:v>
                </c:pt>
                <c:pt idx="14">
                  <c:v>864</c:v>
                </c:pt>
                <c:pt idx="15">
                  <c:v>958</c:v>
                </c:pt>
                <c:pt idx="16">
                  <c:v>1026</c:v>
                </c:pt>
                <c:pt idx="17">
                  <c:v>1220</c:v>
                </c:pt>
                <c:pt idx="18">
                  <c:v>1220.5</c:v>
                </c:pt>
                <c:pt idx="19">
                  <c:v>1330</c:v>
                </c:pt>
                <c:pt idx="20">
                  <c:v>1330.5</c:v>
                </c:pt>
                <c:pt idx="21">
                  <c:v>2227</c:v>
                </c:pt>
                <c:pt idx="22">
                  <c:v>2589</c:v>
                </c:pt>
                <c:pt idx="23">
                  <c:v>2602</c:v>
                </c:pt>
                <c:pt idx="24">
                  <c:v>3424.5</c:v>
                </c:pt>
                <c:pt idx="25">
                  <c:v>4548</c:v>
                </c:pt>
                <c:pt idx="26">
                  <c:v>4561</c:v>
                </c:pt>
                <c:pt idx="27">
                  <c:v>4612.5</c:v>
                </c:pt>
                <c:pt idx="28">
                  <c:v>4654.5</c:v>
                </c:pt>
                <c:pt idx="29">
                  <c:v>4655</c:v>
                </c:pt>
                <c:pt idx="30">
                  <c:v>4658</c:v>
                </c:pt>
                <c:pt idx="31">
                  <c:v>4664.5</c:v>
                </c:pt>
                <c:pt idx="32">
                  <c:v>4667.5</c:v>
                </c:pt>
                <c:pt idx="33">
                  <c:v>4668</c:v>
                </c:pt>
                <c:pt idx="34">
                  <c:v>5817</c:v>
                </c:pt>
                <c:pt idx="35">
                  <c:v>5943</c:v>
                </c:pt>
                <c:pt idx="36">
                  <c:v>6846.5</c:v>
                </c:pt>
                <c:pt idx="37">
                  <c:v>7166.5</c:v>
                </c:pt>
                <c:pt idx="38">
                  <c:v>9390.5</c:v>
                </c:pt>
                <c:pt idx="39">
                  <c:v>9391</c:v>
                </c:pt>
                <c:pt idx="40">
                  <c:v>10491.5</c:v>
                </c:pt>
                <c:pt idx="41">
                  <c:v>10504</c:v>
                </c:pt>
                <c:pt idx="42">
                  <c:v>10504.5</c:v>
                </c:pt>
                <c:pt idx="43">
                  <c:v>11304</c:v>
                </c:pt>
                <c:pt idx="44">
                  <c:v>11802</c:v>
                </c:pt>
                <c:pt idx="45">
                  <c:v>11802.5</c:v>
                </c:pt>
                <c:pt idx="46">
                  <c:v>11848.5</c:v>
                </c:pt>
                <c:pt idx="47">
                  <c:v>12912.5</c:v>
                </c:pt>
                <c:pt idx="48">
                  <c:v>12913</c:v>
                </c:pt>
                <c:pt idx="49">
                  <c:v>12919</c:v>
                </c:pt>
                <c:pt idx="50">
                  <c:v>13019</c:v>
                </c:pt>
                <c:pt idx="51">
                  <c:v>13019.5</c:v>
                </c:pt>
                <c:pt idx="52">
                  <c:v>13129</c:v>
                </c:pt>
                <c:pt idx="53">
                  <c:v>14146</c:v>
                </c:pt>
                <c:pt idx="54">
                  <c:v>14146.5</c:v>
                </c:pt>
                <c:pt idx="55">
                  <c:v>14162</c:v>
                </c:pt>
                <c:pt idx="56">
                  <c:v>15450</c:v>
                </c:pt>
                <c:pt idx="57">
                  <c:v>15450.5</c:v>
                </c:pt>
                <c:pt idx="58">
                  <c:v>15456.5</c:v>
                </c:pt>
                <c:pt idx="59">
                  <c:v>15457</c:v>
                </c:pt>
                <c:pt idx="60">
                  <c:v>15482.5</c:v>
                </c:pt>
                <c:pt idx="61">
                  <c:v>15483</c:v>
                </c:pt>
                <c:pt idx="62">
                  <c:v>16563.5</c:v>
                </c:pt>
                <c:pt idx="63">
                  <c:v>16564</c:v>
                </c:pt>
                <c:pt idx="64">
                  <c:v>16564.5</c:v>
                </c:pt>
                <c:pt idx="65">
                  <c:v>17894.5</c:v>
                </c:pt>
                <c:pt idx="66">
                  <c:v>19998.5</c:v>
                </c:pt>
                <c:pt idx="67">
                  <c:v>19999</c:v>
                </c:pt>
                <c:pt idx="68">
                  <c:v>19765.5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0">
                  <c:v>2.7439999976195395E-3</c:v>
                </c:pt>
                <c:pt idx="1">
                  <c:v>9.8799999250331894E-4</c:v>
                </c:pt>
                <c:pt idx="2">
                  <c:v>-3.6316666664788499E-3</c:v>
                </c:pt>
                <c:pt idx="4">
                  <c:v>7.9199999890988693E-4</c:v>
                </c:pt>
                <c:pt idx="5">
                  <c:v>-6.6399999923305586E-4</c:v>
                </c:pt>
                <c:pt idx="6">
                  <c:v>-5.9999999939464033E-4</c:v>
                </c:pt>
                <c:pt idx="7">
                  <c:v>-7.1600000228499994E-4</c:v>
                </c:pt>
                <c:pt idx="8">
                  <c:v>5.0400000327499583E-4</c:v>
                </c:pt>
                <c:pt idx="9">
                  <c:v>8.4799999604001641E-4</c:v>
                </c:pt>
                <c:pt idx="10">
                  <c:v>1.1840166662295815E-2</c:v>
                </c:pt>
                <c:pt idx="40">
                  <c:v>2.3951999995915685E-2</c:v>
                </c:pt>
                <c:pt idx="41">
                  <c:v>2.0951999998942483E-2</c:v>
                </c:pt>
                <c:pt idx="42">
                  <c:v>2.2296000002825167E-2</c:v>
                </c:pt>
                <c:pt idx="46">
                  <c:v>2.7767999999923632E-2</c:v>
                </c:pt>
                <c:pt idx="47">
                  <c:v>3.1299999995098915E-2</c:v>
                </c:pt>
                <c:pt idx="48">
                  <c:v>3.4643999999389052E-2</c:v>
                </c:pt>
                <c:pt idx="49">
                  <c:v>3.4971999994013458E-2</c:v>
                </c:pt>
                <c:pt idx="50">
                  <c:v>3.727200000139419E-2</c:v>
                </c:pt>
                <c:pt idx="51">
                  <c:v>3.4916000004159287E-2</c:v>
                </c:pt>
                <c:pt idx="52">
                  <c:v>3.765199999907054E-2</c:v>
                </c:pt>
                <c:pt idx="55">
                  <c:v>4.3155999999726191E-2</c:v>
                </c:pt>
                <c:pt idx="65">
                  <c:v>7.0515999999770429E-2</c:v>
                </c:pt>
                <c:pt idx="66">
                  <c:v>8.8867999998910818E-2</c:v>
                </c:pt>
                <c:pt idx="67">
                  <c:v>9.0512000002490822E-2</c:v>
                </c:pt>
                <c:pt idx="68">
                  <c:v>8.847399998921901E-2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D-41A2-9148-8B7E6AC33A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-4</c:v>
                </c:pt>
                <c:pt idx="4">
                  <c:v>-3.5</c:v>
                </c:pt>
                <c:pt idx="5">
                  <c:v>-3</c:v>
                </c:pt>
                <c:pt idx="6">
                  <c:v>0</c:v>
                </c:pt>
                <c:pt idx="7">
                  <c:v>68</c:v>
                </c:pt>
                <c:pt idx="8">
                  <c:v>70.5</c:v>
                </c:pt>
                <c:pt idx="9">
                  <c:v>71</c:v>
                </c:pt>
                <c:pt idx="10">
                  <c:v>234.5</c:v>
                </c:pt>
                <c:pt idx="11">
                  <c:v>235.5</c:v>
                </c:pt>
                <c:pt idx="12">
                  <c:v>271</c:v>
                </c:pt>
                <c:pt idx="13">
                  <c:v>861</c:v>
                </c:pt>
                <c:pt idx="14">
                  <c:v>864</c:v>
                </c:pt>
                <c:pt idx="15">
                  <c:v>958</c:v>
                </c:pt>
                <c:pt idx="16">
                  <c:v>1026</c:v>
                </c:pt>
                <c:pt idx="17">
                  <c:v>1220</c:v>
                </c:pt>
                <c:pt idx="18">
                  <c:v>1220.5</c:v>
                </c:pt>
                <c:pt idx="19">
                  <c:v>1330</c:v>
                </c:pt>
                <c:pt idx="20">
                  <c:v>1330.5</c:v>
                </c:pt>
                <c:pt idx="21">
                  <c:v>2227</c:v>
                </c:pt>
                <c:pt idx="22">
                  <c:v>2589</c:v>
                </c:pt>
                <c:pt idx="23">
                  <c:v>2602</c:v>
                </c:pt>
                <c:pt idx="24">
                  <c:v>3424.5</c:v>
                </c:pt>
                <c:pt idx="25">
                  <c:v>4548</c:v>
                </c:pt>
                <c:pt idx="26">
                  <c:v>4561</c:v>
                </c:pt>
                <c:pt idx="27">
                  <c:v>4612.5</c:v>
                </c:pt>
                <c:pt idx="28">
                  <c:v>4654.5</c:v>
                </c:pt>
                <c:pt idx="29">
                  <c:v>4655</c:v>
                </c:pt>
                <c:pt idx="30">
                  <c:v>4658</c:v>
                </c:pt>
                <c:pt idx="31">
                  <c:v>4664.5</c:v>
                </c:pt>
                <c:pt idx="32">
                  <c:v>4667.5</c:v>
                </c:pt>
                <c:pt idx="33">
                  <c:v>4668</c:v>
                </c:pt>
                <c:pt idx="34">
                  <c:v>5817</c:v>
                </c:pt>
                <c:pt idx="35">
                  <c:v>5943</c:v>
                </c:pt>
                <c:pt idx="36">
                  <c:v>6846.5</c:v>
                </c:pt>
                <c:pt idx="37">
                  <c:v>7166.5</c:v>
                </c:pt>
                <c:pt idx="38">
                  <c:v>9390.5</c:v>
                </c:pt>
                <c:pt idx="39">
                  <c:v>9391</c:v>
                </c:pt>
                <c:pt idx="40">
                  <c:v>10491.5</c:v>
                </c:pt>
                <c:pt idx="41">
                  <c:v>10504</c:v>
                </c:pt>
                <c:pt idx="42">
                  <c:v>10504.5</c:v>
                </c:pt>
                <c:pt idx="43">
                  <c:v>11304</c:v>
                </c:pt>
                <c:pt idx="44">
                  <c:v>11802</c:v>
                </c:pt>
                <c:pt idx="45">
                  <c:v>11802.5</c:v>
                </c:pt>
                <c:pt idx="46">
                  <c:v>11848.5</c:v>
                </c:pt>
                <c:pt idx="47">
                  <c:v>12912.5</c:v>
                </c:pt>
                <c:pt idx="48">
                  <c:v>12913</c:v>
                </c:pt>
                <c:pt idx="49">
                  <c:v>12919</c:v>
                </c:pt>
                <c:pt idx="50">
                  <c:v>13019</c:v>
                </c:pt>
                <c:pt idx="51">
                  <c:v>13019.5</c:v>
                </c:pt>
                <c:pt idx="52">
                  <c:v>13129</c:v>
                </c:pt>
                <c:pt idx="53">
                  <c:v>14146</c:v>
                </c:pt>
                <c:pt idx="54">
                  <c:v>14146.5</c:v>
                </c:pt>
                <c:pt idx="55">
                  <c:v>14162</c:v>
                </c:pt>
                <c:pt idx="56">
                  <c:v>15450</c:v>
                </c:pt>
                <c:pt idx="57">
                  <c:v>15450.5</c:v>
                </c:pt>
                <c:pt idx="58">
                  <c:v>15456.5</c:v>
                </c:pt>
                <c:pt idx="59">
                  <c:v>15457</c:v>
                </c:pt>
                <c:pt idx="60">
                  <c:v>15482.5</c:v>
                </c:pt>
                <c:pt idx="61">
                  <c:v>15483</c:v>
                </c:pt>
                <c:pt idx="62">
                  <c:v>16563.5</c:v>
                </c:pt>
                <c:pt idx="63">
                  <c:v>16564</c:v>
                </c:pt>
                <c:pt idx="64">
                  <c:v>16564.5</c:v>
                </c:pt>
                <c:pt idx="65">
                  <c:v>17894.5</c:v>
                </c:pt>
                <c:pt idx="66">
                  <c:v>19998.5</c:v>
                </c:pt>
                <c:pt idx="67">
                  <c:v>19999</c:v>
                </c:pt>
                <c:pt idx="68">
                  <c:v>19765.5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4D-41A2-9148-8B7E6AC33A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-4</c:v>
                </c:pt>
                <c:pt idx="4">
                  <c:v>-3.5</c:v>
                </c:pt>
                <c:pt idx="5">
                  <c:v>-3</c:v>
                </c:pt>
                <c:pt idx="6">
                  <c:v>0</c:v>
                </c:pt>
                <c:pt idx="7">
                  <c:v>68</c:v>
                </c:pt>
                <c:pt idx="8">
                  <c:v>70.5</c:v>
                </c:pt>
                <c:pt idx="9">
                  <c:v>71</c:v>
                </c:pt>
                <c:pt idx="10">
                  <c:v>234.5</c:v>
                </c:pt>
                <c:pt idx="11">
                  <c:v>235.5</c:v>
                </c:pt>
                <c:pt idx="12">
                  <c:v>271</c:v>
                </c:pt>
                <c:pt idx="13">
                  <c:v>861</c:v>
                </c:pt>
                <c:pt idx="14">
                  <c:v>864</c:v>
                </c:pt>
                <c:pt idx="15">
                  <c:v>958</c:v>
                </c:pt>
                <c:pt idx="16">
                  <c:v>1026</c:v>
                </c:pt>
                <c:pt idx="17">
                  <c:v>1220</c:v>
                </c:pt>
                <c:pt idx="18">
                  <c:v>1220.5</c:v>
                </c:pt>
                <c:pt idx="19">
                  <c:v>1330</c:v>
                </c:pt>
                <c:pt idx="20">
                  <c:v>1330.5</c:v>
                </c:pt>
                <c:pt idx="21">
                  <c:v>2227</c:v>
                </c:pt>
                <c:pt idx="22">
                  <c:v>2589</c:v>
                </c:pt>
                <c:pt idx="23">
                  <c:v>2602</c:v>
                </c:pt>
                <c:pt idx="24">
                  <c:v>3424.5</c:v>
                </c:pt>
                <c:pt idx="25">
                  <c:v>4548</c:v>
                </c:pt>
                <c:pt idx="26">
                  <c:v>4561</c:v>
                </c:pt>
                <c:pt idx="27">
                  <c:v>4612.5</c:v>
                </c:pt>
                <c:pt idx="28">
                  <c:v>4654.5</c:v>
                </c:pt>
                <c:pt idx="29">
                  <c:v>4655</c:v>
                </c:pt>
                <c:pt idx="30">
                  <c:v>4658</c:v>
                </c:pt>
                <c:pt idx="31">
                  <c:v>4664.5</c:v>
                </c:pt>
                <c:pt idx="32">
                  <c:v>4667.5</c:v>
                </c:pt>
                <c:pt idx="33">
                  <c:v>4668</c:v>
                </c:pt>
                <c:pt idx="34">
                  <c:v>5817</c:v>
                </c:pt>
                <c:pt idx="35">
                  <c:v>5943</c:v>
                </c:pt>
                <c:pt idx="36">
                  <c:v>6846.5</c:v>
                </c:pt>
                <c:pt idx="37">
                  <c:v>7166.5</c:v>
                </c:pt>
                <c:pt idx="38">
                  <c:v>9390.5</c:v>
                </c:pt>
                <c:pt idx="39">
                  <c:v>9391</c:v>
                </c:pt>
                <c:pt idx="40">
                  <c:v>10491.5</c:v>
                </c:pt>
                <c:pt idx="41">
                  <c:v>10504</c:v>
                </c:pt>
                <c:pt idx="42">
                  <c:v>10504.5</c:v>
                </c:pt>
                <c:pt idx="43">
                  <c:v>11304</c:v>
                </c:pt>
                <c:pt idx="44">
                  <c:v>11802</c:v>
                </c:pt>
                <c:pt idx="45">
                  <c:v>11802.5</c:v>
                </c:pt>
                <c:pt idx="46">
                  <c:v>11848.5</c:v>
                </c:pt>
                <c:pt idx="47">
                  <c:v>12912.5</c:v>
                </c:pt>
                <c:pt idx="48">
                  <c:v>12913</c:v>
                </c:pt>
                <c:pt idx="49">
                  <c:v>12919</c:v>
                </c:pt>
                <c:pt idx="50">
                  <c:v>13019</c:v>
                </c:pt>
                <c:pt idx="51">
                  <c:v>13019.5</c:v>
                </c:pt>
                <c:pt idx="52">
                  <c:v>13129</c:v>
                </c:pt>
                <c:pt idx="53">
                  <c:v>14146</c:v>
                </c:pt>
                <c:pt idx="54">
                  <c:v>14146.5</c:v>
                </c:pt>
                <c:pt idx="55">
                  <c:v>14162</c:v>
                </c:pt>
                <c:pt idx="56">
                  <c:v>15450</c:v>
                </c:pt>
                <c:pt idx="57">
                  <c:v>15450.5</c:v>
                </c:pt>
                <c:pt idx="58">
                  <c:v>15456.5</c:v>
                </c:pt>
                <c:pt idx="59">
                  <c:v>15457</c:v>
                </c:pt>
                <c:pt idx="60">
                  <c:v>15482.5</c:v>
                </c:pt>
                <c:pt idx="61">
                  <c:v>15483</c:v>
                </c:pt>
                <c:pt idx="62">
                  <c:v>16563.5</c:v>
                </c:pt>
                <c:pt idx="63">
                  <c:v>16564</c:v>
                </c:pt>
                <c:pt idx="64">
                  <c:v>16564.5</c:v>
                </c:pt>
                <c:pt idx="65">
                  <c:v>17894.5</c:v>
                </c:pt>
                <c:pt idx="66">
                  <c:v>19998.5</c:v>
                </c:pt>
                <c:pt idx="67">
                  <c:v>19999</c:v>
                </c:pt>
                <c:pt idx="68">
                  <c:v>19765.5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4D-41A2-9148-8B7E6AC33A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2">
                    <c:v>4.0000000000000002E-4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1E-3</c:v>
                  </c:pt>
                  <c:pt idx="16">
                    <c:v>1.8E-3</c:v>
                  </c:pt>
                  <c:pt idx="17">
                    <c:v>5.0000000000000001E-4</c:v>
                  </c:pt>
                  <c:pt idx="18">
                    <c:v>5.5999999999999999E-3</c:v>
                  </c:pt>
                  <c:pt idx="19">
                    <c:v>1.4E-3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3.8E-3</c:v>
                  </c:pt>
                  <c:pt idx="23">
                    <c:v>2.3E-3</c:v>
                  </c:pt>
                  <c:pt idx="24">
                    <c:v>2.3999999999999998E-3</c:v>
                  </c:pt>
                  <c:pt idx="25">
                    <c:v>5.0000000000000001E-4</c:v>
                  </c:pt>
                  <c:pt idx="26">
                    <c:v>3.0999999999999999E-3</c:v>
                  </c:pt>
                  <c:pt idx="27">
                    <c:v>6.9999999999999999E-4</c:v>
                  </c:pt>
                  <c:pt idx="28">
                    <c:v>6.3E-3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2.0000000000000001E-4</c:v>
                  </c:pt>
                  <c:pt idx="34">
                    <c:v>1.5E-3</c:v>
                  </c:pt>
                  <c:pt idx="35">
                    <c:v>3.2000000000000002E-3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3">
                    <c:v>4.5999999999999999E-3</c:v>
                  </c:pt>
                  <c:pt idx="44">
                    <c:v>8.0000000000000004E-4</c:v>
                  </c:pt>
                  <c:pt idx="45">
                    <c:v>3.5000000000000001E-3</c:v>
                  </c:pt>
                  <c:pt idx="46">
                    <c:v>1E-3</c:v>
                  </c:pt>
                  <c:pt idx="53">
                    <c:v>1.2999999999999999E-3</c:v>
                  </c:pt>
                  <c:pt idx="54">
                    <c:v>4.1999999999999997E-3</c:v>
                  </c:pt>
                  <c:pt idx="55">
                    <c:v>2.0000000000000001E-4</c:v>
                  </c:pt>
                  <c:pt idx="56">
                    <c:v>1.6999999999999999E-3</c:v>
                  </c:pt>
                  <c:pt idx="57">
                    <c:v>1.6999999999999999E-3</c:v>
                  </c:pt>
                  <c:pt idx="58">
                    <c:v>2.5000000000000001E-3</c:v>
                  </c:pt>
                  <c:pt idx="59">
                    <c:v>1.5E-3</c:v>
                  </c:pt>
                  <c:pt idx="60">
                    <c:v>1.2999999999999999E-3</c:v>
                  </c:pt>
                  <c:pt idx="61">
                    <c:v>1.6999999999999999E-3</c:v>
                  </c:pt>
                  <c:pt idx="62">
                    <c:v>8.9999999999999998E-4</c:v>
                  </c:pt>
                  <c:pt idx="63">
                    <c:v>3.0000000000000001E-3</c:v>
                  </c:pt>
                  <c:pt idx="64">
                    <c:v>2.2000000000000001E-3</c:v>
                  </c:pt>
                  <c:pt idx="65">
                    <c:v>1.6999999999999999E-3</c:v>
                  </c:pt>
                  <c:pt idx="66">
                    <c:v>1E-3</c:v>
                  </c:pt>
                  <c:pt idx="67">
                    <c:v>1.4E-3</c:v>
                  </c:pt>
                  <c:pt idx="6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-4</c:v>
                </c:pt>
                <c:pt idx="4">
                  <c:v>-3.5</c:v>
                </c:pt>
                <c:pt idx="5">
                  <c:v>-3</c:v>
                </c:pt>
                <c:pt idx="6">
                  <c:v>0</c:v>
                </c:pt>
                <c:pt idx="7">
                  <c:v>68</c:v>
                </c:pt>
                <c:pt idx="8">
                  <c:v>70.5</c:v>
                </c:pt>
                <c:pt idx="9">
                  <c:v>71</c:v>
                </c:pt>
                <c:pt idx="10">
                  <c:v>234.5</c:v>
                </c:pt>
                <c:pt idx="11">
                  <c:v>235.5</c:v>
                </c:pt>
                <c:pt idx="12">
                  <c:v>271</c:v>
                </c:pt>
                <c:pt idx="13">
                  <c:v>861</c:v>
                </c:pt>
                <c:pt idx="14">
                  <c:v>864</c:v>
                </c:pt>
                <c:pt idx="15">
                  <c:v>958</c:v>
                </c:pt>
                <c:pt idx="16">
                  <c:v>1026</c:v>
                </c:pt>
                <c:pt idx="17">
                  <c:v>1220</c:v>
                </c:pt>
                <c:pt idx="18">
                  <c:v>1220.5</c:v>
                </c:pt>
                <c:pt idx="19">
                  <c:v>1330</c:v>
                </c:pt>
                <c:pt idx="20">
                  <c:v>1330.5</c:v>
                </c:pt>
                <c:pt idx="21">
                  <c:v>2227</c:v>
                </c:pt>
                <c:pt idx="22">
                  <c:v>2589</c:v>
                </c:pt>
                <c:pt idx="23">
                  <c:v>2602</c:v>
                </c:pt>
                <c:pt idx="24">
                  <c:v>3424.5</c:v>
                </c:pt>
                <c:pt idx="25">
                  <c:v>4548</c:v>
                </c:pt>
                <c:pt idx="26">
                  <c:v>4561</c:v>
                </c:pt>
                <c:pt idx="27">
                  <c:v>4612.5</c:v>
                </c:pt>
                <c:pt idx="28">
                  <c:v>4654.5</c:v>
                </c:pt>
                <c:pt idx="29">
                  <c:v>4655</c:v>
                </c:pt>
                <c:pt idx="30">
                  <c:v>4658</c:v>
                </c:pt>
                <c:pt idx="31">
                  <c:v>4664.5</c:v>
                </c:pt>
                <c:pt idx="32">
                  <c:v>4667.5</c:v>
                </c:pt>
                <c:pt idx="33">
                  <c:v>4668</c:v>
                </c:pt>
                <c:pt idx="34">
                  <c:v>5817</c:v>
                </c:pt>
                <c:pt idx="35">
                  <c:v>5943</c:v>
                </c:pt>
                <c:pt idx="36">
                  <c:v>6846.5</c:v>
                </c:pt>
                <c:pt idx="37">
                  <c:v>7166.5</c:v>
                </c:pt>
                <c:pt idx="38">
                  <c:v>9390.5</c:v>
                </c:pt>
                <c:pt idx="39">
                  <c:v>9391</c:v>
                </c:pt>
                <c:pt idx="40">
                  <c:v>10491.5</c:v>
                </c:pt>
                <c:pt idx="41">
                  <c:v>10504</c:v>
                </c:pt>
                <c:pt idx="42">
                  <c:v>10504.5</c:v>
                </c:pt>
                <c:pt idx="43">
                  <c:v>11304</c:v>
                </c:pt>
                <c:pt idx="44">
                  <c:v>11802</c:v>
                </c:pt>
                <c:pt idx="45">
                  <c:v>11802.5</c:v>
                </c:pt>
                <c:pt idx="46">
                  <c:v>11848.5</c:v>
                </c:pt>
                <c:pt idx="47">
                  <c:v>12912.5</c:v>
                </c:pt>
                <c:pt idx="48">
                  <c:v>12913</c:v>
                </c:pt>
                <c:pt idx="49">
                  <c:v>12919</c:v>
                </c:pt>
                <c:pt idx="50">
                  <c:v>13019</c:v>
                </c:pt>
                <c:pt idx="51">
                  <c:v>13019.5</c:v>
                </c:pt>
                <c:pt idx="52">
                  <c:v>13129</c:v>
                </c:pt>
                <c:pt idx="53">
                  <c:v>14146</c:v>
                </c:pt>
                <c:pt idx="54">
                  <c:v>14146.5</c:v>
                </c:pt>
                <c:pt idx="55">
                  <c:v>14162</c:v>
                </c:pt>
                <c:pt idx="56">
                  <c:v>15450</c:v>
                </c:pt>
                <c:pt idx="57">
                  <c:v>15450.5</c:v>
                </c:pt>
                <c:pt idx="58">
                  <c:v>15456.5</c:v>
                </c:pt>
                <c:pt idx="59">
                  <c:v>15457</c:v>
                </c:pt>
                <c:pt idx="60">
                  <c:v>15482.5</c:v>
                </c:pt>
                <c:pt idx="61">
                  <c:v>15483</c:v>
                </c:pt>
                <c:pt idx="62">
                  <c:v>16563.5</c:v>
                </c:pt>
                <c:pt idx="63">
                  <c:v>16564</c:v>
                </c:pt>
                <c:pt idx="64">
                  <c:v>16564.5</c:v>
                </c:pt>
                <c:pt idx="65">
                  <c:v>17894.5</c:v>
                </c:pt>
                <c:pt idx="66">
                  <c:v>19998.5</c:v>
                </c:pt>
                <c:pt idx="67">
                  <c:v>19999</c:v>
                </c:pt>
                <c:pt idx="68">
                  <c:v>19765.5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4D-41A2-9148-8B7E6AC33A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-4</c:v>
                </c:pt>
                <c:pt idx="4">
                  <c:v>-3.5</c:v>
                </c:pt>
                <c:pt idx="5">
                  <c:v>-3</c:v>
                </c:pt>
                <c:pt idx="6">
                  <c:v>0</c:v>
                </c:pt>
                <c:pt idx="7">
                  <c:v>68</c:v>
                </c:pt>
                <c:pt idx="8">
                  <c:v>70.5</c:v>
                </c:pt>
                <c:pt idx="9">
                  <c:v>71</c:v>
                </c:pt>
                <c:pt idx="10">
                  <c:v>234.5</c:v>
                </c:pt>
                <c:pt idx="11">
                  <c:v>235.5</c:v>
                </c:pt>
                <c:pt idx="12">
                  <c:v>271</c:v>
                </c:pt>
                <c:pt idx="13">
                  <c:v>861</c:v>
                </c:pt>
                <c:pt idx="14">
                  <c:v>864</c:v>
                </c:pt>
                <c:pt idx="15">
                  <c:v>958</c:v>
                </c:pt>
                <c:pt idx="16">
                  <c:v>1026</c:v>
                </c:pt>
                <c:pt idx="17">
                  <c:v>1220</c:v>
                </c:pt>
                <c:pt idx="18">
                  <c:v>1220.5</c:v>
                </c:pt>
                <c:pt idx="19">
                  <c:v>1330</c:v>
                </c:pt>
                <c:pt idx="20">
                  <c:v>1330.5</c:v>
                </c:pt>
                <c:pt idx="21">
                  <c:v>2227</c:v>
                </c:pt>
                <c:pt idx="22">
                  <c:v>2589</c:v>
                </c:pt>
                <c:pt idx="23">
                  <c:v>2602</c:v>
                </c:pt>
                <c:pt idx="24">
                  <c:v>3424.5</c:v>
                </c:pt>
                <c:pt idx="25">
                  <c:v>4548</c:v>
                </c:pt>
                <c:pt idx="26">
                  <c:v>4561</c:v>
                </c:pt>
                <c:pt idx="27">
                  <c:v>4612.5</c:v>
                </c:pt>
                <c:pt idx="28">
                  <c:v>4654.5</c:v>
                </c:pt>
                <c:pt idx="29">
                  <c:v>4655</c:v>
                </c:pt>
                <c:pt idx="30">
                  <c:v>4658</c:v>
                </c:pt>
                <c:pt idx="31">
                  <c:v>4664.5</c:v>
                </c:pt>
                <c:pt idx="32">
                  <c:v>4667.5</c:v>
                </c:pt>
                <c:pt idx="33">
                  <c:v>4668</c:v>
                </c:pt>
                <c:pt idx="34">
                  <c:v>5817</c:v>
                </c:pt>
                <c:pt idx="35">
                  <c:v>5943</c:v>
                </c:pt>
                <c:pt idx="36">
                  <c:v>6846.5</c:v>
                </c:pt>
                <c:pt idx="37">
                  <c:v>7166.5</c:v>
                </c:pt>
                <c:pt idx="38">
                  <c:v>9390.5</c:v>
                </c:pt>
                <c:pt idx="39">
                  <c:v>9391</c:v>
                </c:pt>
                <c:pt idx="40">
                  <c:v>10491.5</c:v>
                </c:pt>
                <c:pt idx="41">
                  <c:v>10504</c:v>
                </c:pt>
                <c:pt idx="42">
                  <c:v>10504.5</c:v>
                </c:pt>
                <c:pt idx="43">
                  <c:v>11304</c:v>
                </c:pt>
                <c:pt idx="44">
                  <c:v>11802</c:v>
                </c:pt>
                <c:pt idx="45">
                  <c:v>11802.5</c:v>
                </c:pt>
                <c:pt idx="46">
                  <c:v>11848.5</c:v>
                </c:pt>
                <c:pt idx="47">
                  <c:v>12912.5</c:v>
                </c:pt>
                <c:pt idx="48">
                  <c:v>12913</c:v>
                </c:pt>
                <c:pt idx="49">
                  <c:v>12919</c:v>
                </c:pt>
                <c:pt idx="50">
                  <c:v>13019</c:v>
                </c:pt>
                <c:pt idx="51">
                  <c:v>13019.5</c:v>
                </c:pt>
                <c:pt idx="52">
                  <c:v>13129</c:v>
                </c:pt>
                <c:pt idx="53">
                  <c:v>14146</c:v>
                </c:pt>
                <c:pt idx="54">
                  <c:v>14146.5</c:v>
                </c:pt>
                <c:pt idx="55">
                  <c:v>14162</c:v>
                </c:pt>
                <c:pt idx="56">
                  <c:v>15450</c:v>
                </c:pt>
                <c:pt idx="57">
                  <c:v>15450.5</c:v>
                </c:pt>
                <c:pt idx="58">
                  <c:v>15456.5</c:v>
                </c:pt>
                <c:pt idx="59">
                  <c:v>15457</c:v>
                </c:pt>
                <c:pt idx="60">
                  <c:v>15482.5</c:v>
                </c:pt>
                <c:pt idx="61">
                  <c:v>15483</c:v>
                </c:pt>
                <c:pt idx="62">
                  <c:v>16563.5</c:v>
                </c:pt>
                <c:pt idx="63">
                  <c:v>16564</c:v>
                </c:pt>
                <c:pt idx="64">
                  <c:v>16564.5</c:v>
                </c:pt>
                <c:pt idx="65">
                  <c:v>17894.5</c:v>
                </c:pt>
                <c:pt idx="66">
                  <c:v>19998.5</c:v>
                </c:pt>
                <c:pt idx="67">
                  <c:v>19999</c:v>
                </c:pt>
                <c:pt idx="68">
                  <c:v>19765.5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3">
                  <c:v>-6.2654571109276525E-2</c:v>
                </c:pt>
                <c:pt idx="11">
                  <c:v>-6.0852539122687198E-2</c:v>
                </c:pt>
                <c:pt idx="38">
                  <c:v>8.0309800306546247E-3</c:v>
                </c:pt>
                <c:pt idx="39">
                  <c:v>8.0347421016078308E-3</c:v>
                </c:pt>
                <c:pt idx="40">
                  <c:v>1.631506026963106E-2</c:v>
                </c:pt>
                <c:pt idx="41">
                  <c:v>1.6409112043461405E-2</c:v>
                </c:pt>
                <c:pt idx="42">
                  <c:v>1.6412874114414625E-2</c:v>
                </c:pt>
                <c:pt idx="43">
                  <c:v>2.2428425568603236E-2</c:v>
                </c:pt>
                <c:pt idx="44">
                  <c:v>2.6175448238004023E-2</c:v>
                </c:pt>
                <c:pt idx="45">
                  <c:v>2.6179210308957243E-2</c:v>
                </c:pt>
                <c:pt idx="46">
                  <c:v>2.6525320836652891E-2</c:v>
                </c:pt>
                <c:pt idx="47">
                  <c:v>3.4531007825091525E-2</c:v>
                </c:pt>
                <c:pt idx="48">
                  <c:v>3.4534769896044745E-2</c:v>
                </c:pt>
                <c:pt idx="49">
                  <c:v>3.4579914747483301E-2</c:v>
                </c:pt>
                <c:pt idx="50">
                  <c:v>3.5332328938126031E-2</c:v>
                </c:pt>
                <c:pt idx="51">
                  <c:v>3.5336091009079251E-2</c:v>
                </c:pt>
                <c:pt idx="52">
                  <c:v>3.6159984547833035E-2</c:v>
                </c:pt>
                <c:pt idx="53">
                  <c:v>4.3812036866669582E-2</c:v>
                </c:pt>
                <c:pt idx="54">
                  <c:v>4.3815798937622802E-2</c:v>
                </c:pt>
                <c:pt idx="55">
                  <c:v>4.3932423137172424E-2</c:v>
                </c:pt>
                <c:pt idx="56">
                  <c:v>5.362351791265077E-2</c:v>
                </c:pt>
                <c:pt idx="57">
                  <c:v>5.3627279983603976E-2</c:v>
                </c:pt>
                <c:pt idx="58">
                  <c:v>5.3672424835042545E-2</c:v>
                </c:pt>
                <c:pt idx="59">
                  <c:v>5.3676186905995765E-2</c:v>
                </c:pt>
                <c:pt idx="60">
                  <c:v>5.3868052524609661E-2</c:v>
                </c:pt>
                <c:pt idx="61">
                  <c:v>5.3871814595562867E-2</c:v>
                </c:pt>
                <c:pt idx="62">
                  <c:v>6.200164992545755E-2</c:v>
                </c:pt>
                <c:pt idx="63">
                  <c:v>6.200541199641077E-2</c:v>
                </c:pt>
                <c:pt idx="64">
                  <c:v>6.2009174067363976E-2</c:v>
                </c:pt>
                <c:pt idx="65">
                  <c:v>7.2016282802912279E-2</c:v>
                </c:pt>
                <c:pt idx="66">
                  <c:v>8.7847077374035298E-2</c:v>
                </c:pt>
                <c:pt idx="67">
                  <c:v>8.7850839444988504E-2</c:v>
                </c:pt>
                <c:pt idx="68">
                  <c:v>8.609395230983774E-2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4D-41A2-9148-8B7E6AC33AA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1.0042481580202184E-4</c:v>
                </c:pt>
                <c:pt idx="1">
                  <c:v>-2.0354087831943269E-4</c:v>
                </c:pt>
                <c:pt idx="2">
                  <c:v>2.6711982204243295E-6</c:v>
                </c:pt>
                <c:pt idx="3">
                  <c:v>7.1906104542159271E-4</c:v>
                </c:pt>
                <c:pt idx="4">
                  <c:v>1.9456286632840731E-3</c:v>
                </c:pt>
                <c:pt idx="5">
                  <c:v>3.6823740518078648E-3</c:v>
                </c:pt>
                <c:pt idx="6">
                  <c:v>5.9292972109929679E-3</c:v>
                </c:pt>
                <c:pt idx="7">
                  <c:v>8.6863981408393815E-3</c:v>
                </c:pt>
                <c:pt idx="8">
                  <c:v>1.195367684134711E-2</c:v>
                </c:pt>
                <c:pt idx="9">
                  <c:v>1.5731133312516146E-2</c:v>
                </c:pt>
                <c:pt idx="10">
                  <c:v>2.0018767554346496E-2</c:v>
                </c:pt>
                <c:pt idx="11">
                  <c:v>2.4816579566838155E-2</c:v>
                </c:pt>
                <c:pt idx="12">
                  <c:v>3.012456934999113E-2</c:v>
                </c:pt>
                <c:pt idx="13">
                  <c:v>3.5942736903805408E-2</c:v>
                </c:pt>
                <c:pt idx="14">
                  <c:v>4.2271082228281007E-2</c:v>
                </c:pt>
                <c:pt idx="15">
                  <c:v>4.9109605323417918E-2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4D-41A2-9148-8B7E6AC3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68576"/>
        <c:axId val="1"/>
      </c:scatterChart>
      <c:valAx>
        <c:axId val="690768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6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24555735056542"/>
          <c:y val="0.92121212121212126"/>
          <c:w val="0.77382875605815826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V441 Lac - O-C Diagr.</a:t>
            </a:r>
          </a:p>
        </c:rich>
      </c:tx>
      <c:layout>
        <c:manualLayout>
          <c:xMode val="edge"/>
          <c:yMode val="edge"/>
          <c:x val="0.366720856177307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-3.5</c:v>
                </c:pt>
                <c:pt idx="4">
                  <c:v>-3</c:v>
                </c:pt>
                <c:pt idx="5">
                  <c:v>0</c:v>
                </c:pt>
                <c:pt idx="6">
                  <c:v>68</c:v>
                </c:pt>
                <c:pt idx="7">
                  <c:v>70.5</c:v>
                </c:pt>
                <c:pt idx="8">
                  <c:v>71</c:v>
                </c:pt>
                <c:pt idx="9">
                  <c:v>234.5</c:v>
                </c:pt>
                <c:pt idx="10">
                  <c:v>271</c:v>
                </c:pt>
                <c:pt idx="11">
                  <c:v>861</c:v>
                </c:pt>
                <c:pt idx="12">
                  <c:v>864</c:v>
                </c:pt>
                <c:pt idx="13">
                  <c:v>958</c:v>
                </c:pt>
                <c:pt idx="14">
                  <c:v>1026</c:v>
                </c:pt>
                <c:pt idx="15">
                  <c:v>1220</c:v>
                </c:pt>
                <c:pt idx="16">
                  <c:v>1220.5</c:v>
                </c:pt>
                <c:pt idx="17">
                  <c:v>1330</c:v>
                </c:pt>
                <c:pt idx="18">
                  <c:v>1330.5</c:v>
                </c:pt>
                <c:pt idx="19">
                  <c:v>2227</c:v>
                </c:pt>
                <c:pt idx="20">
                  <c:v>2589</c:v>
                </c:pt>
                <c:pt idx="21">
                  <c:v>2602</c:v>
                </c:pt>
                <c:pt idx="22">
                  <c:v>3424.5</c:v>
                </c:pt>
                <c:pt idx="23">
                  <c:v>4548.5</c:v>
                </c:pt>
                <c:pt idx="24">
                  <c:v>4561.5</c:v>
                </c:pt>
                <c:pt idx="25">
                  <c:v>4613</c:v>
                </c:pt>
                <c:pt idx="26">
                  <c:v>4655</c:v>
                </c:pt>
                <c:pt idx="27">
                  <c:v>4655.5</c:v>
                </c:pt>
                <c:pt idx="28">
                  <c:v>4658.5</c:v>
                </c:pt>
                <c:pt idx="29">
                  <c:v>4665</c:v>
                </c:pt>
                <c:pt idx="30">
                  <c:v>4668</c:v>
                </c:pt>
                <c:pt idx="31">
                  <c:v>4668.5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37-4CD6-A667-74A19EC39E0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-3.5</c:v>
                </c:pt>
                <c:pt idx="4">
                  <c:v>-3</c:v>
                </c:pt>
                <c:pt idx="5">
                  <c:v>0</c:v>
                </c:pt>
                <c:pt idx="6">
                  <c:v>68</c:v>
                </c:pt>
                <c:pt idx="7">
                  <c:v>70.5</c:v>
                </c:pt>
                <c:pt idx="8">
                  <c:v>71</c:v>
                </c:pt>
                <c:pt idx="9">
                  <c:v>234.5</c:v>
                </c:pt>
                <c:pt idx="10">
                  <c:v>271</c:v>
                </c:pt>
                <c:pt idx="11">
                  <c:v>861</c:v>
                </c:pt>
                <c:pt idx="12">
                  <c:v>864</c:v>
                </c:pt>
                <c:pt idx="13">
                  <c:v>958</c:v>
                </c:pt>
                <c:pt idx="14">
                  <c:v>1026</c:v>
                </c:pt>
                <c:pt idx="15">
                  <c:v>1220</c:v>
                </c:pt>
                <c:pt idx="16">
                  <c:v>1220.5</c:v>
                </c:pt>
                <c:pt idx="17">
                  <c:v>1330</c:v>
                </c:pt>
                <c:pt idx="18">
                  <c:v>1330.5</c:v>
                </c:pt>
                <c:pt idx="19">
                  <c:v>2227</c:v>
                </c:pt>
                <c:pt idx="20">
                  <c:v>2589</c:v>
                </c:pt>
                <c:pt idx="21">
                  <c:v>2602</c:v>
                </c:pt>
                <c:pt idx="22">
                  <c:v>3424.5</c:v>
                </c:pt>
                <c:pt idx="23">
                  <c:v>4548.5</c:v>
                </c:pt>
                <c:pt idx="24">
                  <c:v>4561.5</c:v>
                </c:pt>
                <c:pt idx="25">
                  <c:v>4613</c:v>
                </c:pt>
                <c:pt idx="26">
                  <c:v>4655</c:v>
                </c:pt>
                <c:pt idx="27">
                  <c:v>4655.5</c:v>
                </c:pt>
                <c:pt idx="28">
                  <c:v>4658.5</c:v>
                </c:pt>
                <c:pt idx="29">
                  <c:v>4665</c:v>
                </c:pt>
                <c:pt idx="30">
                  <c:v>4668</c:v>
                </c:pt>
                <c:pt idx="31">
                  <c:v>4668.5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0">
                  <c:v>5.2999996114522219E-5</c:v>
                </c:pt>
                <c:pt idx="1">
                  <c:v>-1.6940000059548765E-3</c:v>
                </c:pt>
                <c:pt idx="2">
                  <c:v>-3.7216666678432375E-3</c:v>
                </c:pt>
                <c:pt idx="3">
                  <c:v>7.2899999941000715E-4</c:v>
                </c:pt>
                <c:pt idx="4">
                  <c:v>-7.1800000296207145E-4</c:v>
                </c:pt>
                <c:pt idx="5">
                  <c:v>-5.9999999939464033E-4</c:v>
                </c:pt>
                <c:pt idx="6">
                  <c:v>5.0799999735318124E-4</c:v>
                </c:pt>
                <c:pt idx="7">
                  <c:v>1.7730000035953708E-3</c:v>
                </c:pt>
                <c:pt idx="8">
                  <c:v>2.1259999994072132E-3</c:v>
                </c:pt>
                <c:pt idx="9">
                  <c:v>1.6061166665167548E-2</c:v>
                </c:pt>
                <c:pt idx="10">
                  <c:v>4.6260000017355196E-3</c:v>
                </c:pt>
                <c:pt idx="11">
                  <c:v>1.3765999996394385E-2</c:v>
                </c:pt>
                <c:pt idx="12">
                  <c:v>1.348399999551475E-2</c:v>
                </c:pt>
                <c:pt idx="13">
                  <c:v>1.6748000001825858E-2</c:v>
                </c:pt>
                <c:pt idx="14">
                  <c:v>1.8155999998271E-2</c:v>
                </c:pt>
                <c:pt idx="15">
                  <c:v>1.781999999366235E-2</c:v>
                </c:pt>
                <c:pt idx="16">
                  <c:v>1.9772999999986496E-2</c:v>
                </c:pt>
                <c:pt idx="17">
                  <c:v>2.4779999999736901E-2</c:v>
                </c:pt>
                <c:pt idx="18">
                  <c:v>2.4732999998377636E-2</c:v>
                </c:pt>
                <c:pt idx="19">
                  <c:v>3.8761999996495433E-2</c:v>
                </c:pt>
                <c:pt idx="20">
                  <c:v>4.5733999999356456E-2</c:v>
                </c:pt>
                <c:pt idx="21">
                  <c:v>4.4612000005145092E-2</c:v>
                </c:pt>
                <c:pt idx="22">
                  <c:v>6.2697000001207925E-2</c:v>
                </c:pt>
                <c:pt idx="23">
                  <c:v>-7.0459000002301764E-2</c:v>
                </c:pt>
                <c:pt idx="24">
                  <c:v>-6.9081000001460779E-2</c:v>
                </c:pt>
                <c:pt idx="25">
                  <c:v>-7.362200000352459E-2</c:v>
                </c:pt>
                <c:pt idx="26">
                  <c:v>-6.7970000003697351E-2</c:v>
                </c:pt>
                <c:pt idx="27">
                  <c:v>-6.9817000003240537E-2</c:v>
                </c:pt>
                <c:pt idx="28">
                  <c:v>-6.6898999997647479E-2</c:v>
                </c:pt>
                <c:pt idx="29">
                  <c:v>-6.7710000002989545E-2</c:v>
                </c:pt>
                <c:pt idx="30">
                  <c:v>-6.5891999998711981E-2</c:v>
                </c:pt>
                <c:pt idx="31">
                  <c:v>-6.8339000004925765E-2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37-4CD6-A667-74A19EC39E0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-3.5</c:v>
                </c:pt>
                <c:pt idx="4">
                  <c:v>-3</c:v>
                </c:pt>
                <c:pt idx="5">
                  <c:v>0</c:v>
                </c:pt>
                <c:pt idx="6">
                  <c:v>68</c:v>
                </c:pt>
                <c:pt idx="7">
                  <c:v>70.5</c:v>
                </c:pt>
                <c:pt idx="8">
                  <c:v>71</c:v>
                </c:pt>
                <c:pt idx="9">
                  <c:v>234.5</c:v>
                </c:pt>
                <c:pt idx="10">
                  <c:v>271</c:v>
                </c:pt>
                <c:pt idx="11">
                  <c:v>861</c:v>
                </c:pt>
                <c:pt idx="12">
                  <c:v>864</c:v>
                </c:pt>
                <c:pt idx="13">
                  <c:v>958</c:v>
                </c:pt>
                <c:pt idx="14">
                  <c:v>1026</c:v>
                </c:pt>
                <c:pt idx="15">
                  <c:v>1220</c:v>
                </c:pt>
                <c:pt idx="16">
                  <c:v>1220.5</c:v>
                </c:pt>
                <c:pt idx="17">
                  <c:v>1330</c:v>
                </c:pt>
                <c:pt idx="18">
                  <c:v>1330.5</c:v>
                </c:pt>
                <c:pt idx="19">
                  <c:v>2227</c:v>
                </c:pt>
                <c:pt idx="20">
                  <c:v>2589</c:v>
                </c:pt>
                <c:pt idx="21">
                  <c:v>2602</c:v>
                </c:pt>
                <c:pt idx="22">
                  <c:v>3424.5</c:v>
                </c:pt>
                <c:pt idx="23">
                  <c:v>4548.5</c:v>
                </c:pt>
                <c:pt idx="24">
                  <c:v>4561.5</c:v>
                </c:pt>
                <c:pt idx="25">
                  <c:v>4613</c:v>
                </c:pt>
                <c:pt idx="26">
                  <c:v>4655</c:v>
                </c:pt>
                <c:pt idx="27">
                  <c:v>4655.5</c:v>
                </c:pt>
                <c:pt idx="28">
                  <c:v>4658.5</c:v>
                </c:pt>
                <c:pt idx="29">
                  <c:v>4665</c:v>
                </c:pt>
                <c:pt idx="30">
                  <c:v>4668</c:v>
                </c:pt>
                <c:pt idx="31">
                  <c:v>4668.5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37-4CD6-A667-74A19EC39E0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-3.5</c:v>
                </c:pt>
                <c:pt idx="4">
                  <c:v>-3</c:v>
                </c:pt>
                <c:pt idx="5">
                  <c:v>0</c:v>
                </c:pt>
                <c:pt idx="6">
                  <c:v>68</c:v>
                </c:pt>
                <c:pt idx="7">
                  <c:v>70.5</c:v>
                </c:pt>
                <c:pt idx="8">
                  <c:v>71</c:v>
                </c:pt>
                <c:pt idx="9">
                  <c:v>234.5</c:v>
                </c:pt>
                <c:pt idx="10">
                  <c:v>271</c:v>
                </c:pt>
                <c:pt idx="11">
                  <c:v>861</c:v>
                </c:pt>
                <c:pt idx="12">
                  <c:v>864</c:v>
                </c:pt>
                <c:pt idx="13">
                  <c:v>958</c:v>
                </c:pt>
                <c:pt idx="14">
                  <c:v>1026</c:v>
                </c:pt>
                <c:pt idx="15">
                  <c:v>1220</c:v>
                </c:pt>
                <c:pt idx="16">
                  <c:v>1220.5</c:v>
                </c:pt>
                <c:pt idx="17">
                  <c:v>1330</c:v>
                </c:pt>
                <c:pt idx="18">
                  <c:v>1330.5</c:v>
                </c:pt>
                <c:pt idx="19">
                  <c:v>2227</c:v>
                </c:pt>
                <c:pt idx="20">
                  <c:v>2589</c:v>
                </c:pt>
                <c:pt idx="21">
                  <c:v>2602</c:v>
                </c:pt>
                <c:pt idx="22">
                  <c:v>3424.5</c:v>
                </c:pt>
                <c:pt idx="23">
                  <c:v>4548.5</c:v>
                </c:pt>
                <c:pt idx="24">
                  <c:v>4561.5</c:v>
                </c:pt>
                <c:pt idx="25">
                  <c:v>4613</c:v>
                </c:pt>
                <c:pt idx="26">
                  <c:v>4655</c:v>
                </c:pt>
                <c:pt idx="27">
                  <c:v>4655.5</c:v>
                </c:pt>
                <c:pt idx="28">
                  <c:v>4658.5</c:v>
                </c:pt>
                <c:pt idx="29">
                  <c:v>4665</c:v>
                </c:pt>
                <c:pt idx="30">
                  <c:v>4668</c:v>
                </c:pt>
                <c:pt idx="31">
                  <c:v>4668.5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37-4CD6-A667-74A19EC39E0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-3.5</c:v>
                </c:pt>
                <c:pt idx="4">
                  <c:v>-3</c:v>
                </c:pt>
                <c:pt idx="5">
                  <c:v>0</c:v>
                </c:pt>
                <c:pt idx="6">
                  <c:v>68</c:v>
                </c:pt>
                <c:pt idx="7">
                  <c:v>70.5</c:v>
                </c:pt>
                <c:pt idx="8">
                  <c:v>71</c:v>
                </c:pt>
                <c:pt idx="9">
                  <c:v>234.5</c:v>
                </c:pt>
                <c:pt idx="10">
                  <c:v>271</c:v>
                </c:pt>
                <c:pt idx="11">
                  <c:v>861</c:v>
                </c:pt>
                <c:pt idx="12">
                  <c:v>864</c:v>
                </c:pt>
                <c:pt idx="13">
                  <c:v>958</c:v>
                </c:pt>
                <c:pt idx="14">
                  <c:v>1026</c:v>
                </c:pt>
                <c:pt idx="15">
                  <c:v>1220</c:v>
                </c:pt>
                <c:pt idx="16">
                  <c:v>1220.5</c:v>
                </c:pt>
                <c:pt idx="17">
                  <c:v>1330</c:v>
                </c:pt>
                <c:pt idx="18">
                  <c:v>1330.5</c:v>
                </c:pt>
                <c:pt idx="19">
                  <c:v>2227</c:v>
                </c:pt>
                <c:pt idx="20">
                  <c:v>2589</c:v>
                </c:pt>
                <c:pt idx="21">
                  <c:v>2602</c:v>
                </c:pt>
                <c:pt idx="22">
                  <c:v>3424.5</c:v>
                </c:pt>
                <c:pt idx="23">
                  <c:v>4548.5</c:v>
                </c:pt>
                <c:pt idx="24">
                  <c:v>4561.5</c:v>
                </c:pt>
                <c:pt idx="25">
                  <c:v>4613</c:v>
                </c:pt>
                <c:pt idx="26">
                  <c:v>4655</c:v>
                </c:pt>
                <c:pt idx="27">
                  <c:v>4655.5</c:v>
                </c:pt>
                <c:pt idx="28">
                  <c:v>4658.5</c:v>
                </c:pt>
                <c:pt idx="29">
                  <c:v>4665</c:v>
                </c:pt>
                <c:pt idx="30">
                  <c:v>4668</c:v>
                </c:pt>
                <c:pt idx="31">
                  <c:v>4668.5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37-4CD6-A667-74A19EC39E0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-3.5</c:v>
                </c:pt>
                <c:pt idx="4">
                  <c:v>-3</c:v>
                </c:pt>
                <c:pt idx="5">
                  <c:v>0</c:v>
                </c:pt>
                <c:pt idx="6">
                  <c:v>68</c:v>
                </c:pt>
                <c:pt idx="7">
                  <c:v>70.5</c:v>
                </c:pt>
                <c:pt idx="8">
                  <c:v>71</c:v>
                </c:pt>
                <c:pt idx="9">
                  <c:v>234.5</c:v>
                </c:pt>
                <c:pt idx="10">
                  <c:v>271</c:v>
                </c:pt>
                <c:pt idx="11">
                  <c:v>861</c:v>
                </c:pt>
                <c:pt idx="12">
                  <c:v>864</c:v>
                </c:pt>
                <c:pt idx="13">
                  <c:v>958</c:v>
                </c:pt>
                <c:pt idx="14">
                  <c:v>1026</c:v>
                </c:pt>
                <c:pt idx="15">
                  <c:v>1220</c:v>
                </c:pt>
                <c:pt idx="16">
                  <c:v>1220.5</c:v>
                </c:pt>
                <c:pt idx="17">
                  <c:v>1330</c:v>
                </c:pt>
                <c:pt idx="18">
                  <c:v>1330.5</c:v>
                </c:pt>
                <c:pt idx="19">
                  <c:v>2227</c:v>
                </c:pt>
                <c:pt idx="20">
                  <c:v>2589</c:v>
                </c:pt>
                <c:pt idx="21">
                  <c:v>2602</c:v>
                </c:pt>
                <c:pt idx="22">
                  <c:v>3424.5</c:v>
                </c:pt>
                <c:pt idx="23">
                  <c:v>4548.5</c:v>
                </c:pt>
                <c:pt idx="24">
                  <c:v>4561.5</c:v>
                </c:pt>
                <c:pt idx="25">
                  <c:v>4613</c:v>
                </c:pt>
                <c:pt idx="26">
                  <c:v>4655</c:v>
                </c:pt>
                <c:pt idx="27">
                  <c:v>4655.5</c:v>
                </c:pt>
                <c:pt idx="28">
                  <c:v>4658.5</c:v>
                </c:pt>
                <c:pt idx="29">
                  <c:v>4665</c:v>
                </c:pt>
                <c:pt idx="30">
                  <c:v>4668</c:v>
                </c:pt>
                <c:pt idx="31">
                  <c:v>4668.5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37-4CD6-A667-74A19EC39E0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10">
                    <c:v>4.0000000000000002E-4</c:v>
                  </c:pt>
                  <c:pt idx="11">
                    <c:v>8.0000000000000004E-4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5.0000000000000001E-4</c:v>
                  </c:pt>
                  <c:pt idx="16">
                    <c:v>5.5999999999999999E-3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2E-3</c:v>
                  </c:pt>
                  <c:pt idx="20">
                    <c:v>3.8E-3</c:v>
                  </c:pt>
                  <c:pt idx="21">
                    <c:v>2.3E-3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3.0999999999999999E-3</c:v>
                  </c:pt>
                  <c:pt idx="25">
                    <c:v>6.9999999999999999E-4</c:v>
                  </c:pt>
                  <c:pt idx="26">
                    <c:v>6.3E-3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1.2999999999999999E-3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-3.5</c:v>
                </c:pt>
                <c:pt idx="4">
                  <c:v>-3</c:v>
                </c:pt>
                <c:pt idx="5">
                  <c:v>0</c:v>
                </c:pt>
                <c:pt idx="6">
                  <c:v>68</c:v>
                </c:pt>
                <c:pt idx="7">
                  <c:v>70.5</c:v>
                </c:pt>
                <c:pt idx="8">
                  <c:v>71</c:v>
                </c:pt>
                <c:pt idx="9">
                  <c:v>234.5</c:v>
                </c:pt>
                <c:pt idx="10">
                  <c:v>271</c:v>
                </c:pt>
                <c:pt idx="11">
                  <c:v>861</c:v>
                </c:pt>
                <c:pt idx="12">
                  <c:v>864</c:v>
                </c:pt>
                <c:pt idx="13">
                  <c:v>958</c:v>
                </c:pt>
                <c:pt idx="14">
                  <c:v>1026</c:v>
                </c:pt>
                <c:pt idx="15">
                  <c:v>1220</c:v>
                </c:pt>
                <c:pt idx="16">
                  <c:v>1220.5</c:v>
                </c:pt>
                <c:pt idx="17">
                  <c:v>1330</c:v>
                </c:pt>
                <c:pt idx="18">
                  <c:v>1330.5</c:v>
                </c:pt>
                <c:pt idx="19">
                  <c:v>2227</c:v>
                </c:pt>
                <c:pt idx="20">
                  <c:v>2589</c:v>
                </c:pt>
                <c:pt idx="21">
                  <c:v>2602</c:v>
                </c:pt>
                <c:pt idx="22">
                  <c:v>3424.5</c:v>
                </c:pt>
                <c:pt idx="23">
                  <c:v>4548.5</c:v>
                </c:pt>
                <c:pt idx="24">
                  <c:v>4561.5</c:v>
                </c:pt>
                <c:pt idx="25">
                  <c:v>4613</c:v>
                </c:pt>
                <c:pt idx="26">
                  <c:v>4655</c:v>
                </c:pt>
                <c:pt idx="27">
                  <c:v>4655.5</c:v>
                </c:pt>
                <c:pt idx="28">
                  <c:v>4658.5</c:v>
                </c:pt>
                <c:pt idx="29">
                  <c:v>4665</c:v>
                </c:pt>
                <c:pt idx="30">
                  <c:v>4668</c:v>
                </c:pt>
                <c:pt idx="31">
                  <c:v>4668.5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37-4CD6-A667-74A19EC39E0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-149.5</c:v>
                </c:pt>
                <c:pt idx="1">
                  <c:v>-149</c:v>
                </c:pt>
                <c:pt idx="2">
                  <c:v>-5</c:v>
                </c:pt>
                <c:pt idx="3">
                  <c:v>-3.5</c:v>
                </c:pt>
                <c:pt idx="4">
                  <c:v>-3</c:v>
                </c:pt>
                <c:pt idx="5">
                  <c:v>0</c:v>
                </c:pt>
                <c:pt idx="6">
                  <c:v>68</c:v>
                </c:pt>
                <c:pt idx="7">
                  <c:v>70.5</c:v>
                </c:pt>
                <c:pt idx="8">
                  <c:v>71</c:v>
                </c:pt>
                <c:pt idx="9">
                  <c:v>234.5</c:v>
                </c:pt>
                <c:pt idx="10">
                  <c:v>271</c:v>
                </c:pt>
                <c:pt idx="11">
                  <c:v>861</c:v>
                </c:pt>
                <c:pt idx="12">
                  <c:v>864</c:v>
                </c:pt>
                <c:pt idx="13">
                  <c:v>958</c:v>
                </c:pt>
                <c:pt idx="14">
                  <c:v>1026</c:v>
                </c:pt>
                <c:pt idx="15">
                  <c:v>1220</c:v>
                </c:pt>
                <c:pt idx="16">
                  <c:v>1220.5</c:v>
                </c:pt>
                <c:pt idx="17">
                  <c:v>1330</c:v>
                </c:pt>
                <c:pt idx="18">
                  <c:v>1330.5</c:v>
                </c:pt>
                <c:pt idx="19">
                  <c:v>2227</c:v>
                </c:pt>
                <c:pt idx="20">
                  <c:v>2589</c:v>
                </c:pt>
                <c:pt idx="21">
                  <c:v>2602</c:v>
                </c:pt>
                <c:pt idx="22">
                  <c:v>3424.5</c:v>
                </c:pt>
                <c:pt idx="23">
                  <c:v>4548.5</c:v>
                </c:pt>
                <c:pt idx="24">
                  <c:v>4561.5</c:v>
                </c:pt>
                <c:pt idx="25">
                  <c:v>4613</c:v>
                </c:pt>
                <c:pt idx="26">
                  <c:v>4655</c:v>
                </c:pt>
                <c:pt idx="27">
                  <c:v>4655.5</c:v>
                </c:pt>
                <c:pt idx="28">
                  <c:v>4658.5</c:v>
                </c:pt>
                <c:pt idx="29">
                  <c:v>4665</c:v>
                </c:pt>
                <c:pt idx="30">
                  <c:v>4668</c:v>
                </c:pt>
                <c:pt idx="31">
                  <c:v>4668.5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2.2056435333649083E-2</c:v>
                </c:pt>
                <c:pt idx="1">
                  <c:v>2.2049180599819349E-2</c:v>
                </c:pt>
                <c:pt idx="2">
                  <c:v>1.9959817256856034E-2</c:v>
                </c:pt>
                <c:pt idx="3">
                  <c:v>1.9938053055366833E-2</c:v>
                </c:pt>
                <c:pt idx="4">
                  <c:v>1.9930798321537099E-2</c:v>
                </c:pt>
                <c:pt idx="5">
                  <c:v>1.9887269918558697E-2</c:v>
                </c:pt>
                <c:pt idx="6">
                  <c:v>1.8900626117714911E-2</c:v>
                </c:pt>
                <c:pt idx="7">
                  <c:v>1.8864352448566241E-2</c:v>
                </c:pt>
                <c:pt idx="8">
                  <c:v>1.8857097714736506E-2</c:v>
                </c:pt>
                <c:pt idx="9">
                  <c:v>1.6484799752413577E-2</c:v>
                </c:pt>
                <c:pt idx="10">
                  <c:v>1.5955204182843016E-2</c:v>
                </c:pt>
                <c:pt idx="11">
                  <c:v>7.3946182637572109E-3</c:v>
                </c:pt>
                <c:pt idx="12">
                  <c:v>7.3510898607788092E-3</c:v>
                </c:pt>
                <c:pt idx="13">
                  <c:v>5.9871999007888674E-3</c:v>
                </c:pt>
                <c:pt idx="14">
                  <c:v>5.0005560999450797E-3</c:v>
                </c:pt>
                <c:pt idx="15">
                  <c:v>2.1857193740083929E-3</c:v>
                </c:pt>
                <c:pt idx="16">
                  <c:v>2.1784646401786581E-3</c:v>
                </c:pt>
                <c:pt idx="17">
                  <c:v>5.8967793146697325E-4</c:v>
                </c:pt>
                <c:pt idx="18">
                  <c:v>5.8242319763723849E-4</c:v>
                </c:pt>
                <c:pt idx="19">
                  <c:v>-1.2425314559075345E-2</c:v>
                </c:pt>
                <c:pt idx="20">
                  <c:v>-1.7677741851802566E-2</c:v>
                </c:pt>
                <c:pt idx="21">
                  <c:v>-1.7866364931375642E-2</c:v>
                </c:pt>
                <c:pt idx="22">
                  <c:v>-2.980040208128763E-2</c:v>
                </c:pt>
                <c:pt idx="23">
                  <c:v>-4.6109043730529056E-2</c:v>
                </c:pt>
                <c:pt idx="24">
                  <c:v>-4.6297666810102125E-2</c:v>
                </c:pt>
                <c:pt idx="25">
                  <c:v>-4.7044904394564699E-2</c:v>
                </c:pt>
                <c:pt idx="26">
                  <c:v>-4.7654302036262336E-2</c:v>
                </c:pt>
                <c:pt idx="27">
                  <c:v>-4.7661556770092067E-2</c:v>
                </c:pt>
                <c:pt idx="28">
                  <c:v>-4.7705085173070469E-2</c:v>
                </c:pt>
                <c:pt idx="29">
                  <c:v>-4.7799396712857017E-2</c:v>
                </c:pt>
                <c:pt idx="30">
                  <c:v>-4.7842925115835419E-2</c:v>
                </c:pt>
                <c:pt idx="31">
                  <c:v>-4.785017984966515E-2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37-4CD6-A667-74A19EC3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55256"/>
        <c:axId val="1"/>
      </c:scatterChart>
      <c:valAx>
        <c:axId val="690755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55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39903069466882"/>
          <c:y val="0.92024539877300615"/>
          <c:w val="0.91114701130856213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28574</xdr:rowOff>
    </xdr:from>
    <xdr:to>
      <xdr:col>18</xdr:col>
      <xdr:colOff>247650</xdr:colOff>
      <xdr:row>18</xdr:row>
      <xdr:rowOff>133349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64C08B20-4437-8547-377E-D1E095735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4834C1D-3196-655E-1C9D-B298AB4F1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bav-astro.de/sfs/BAVM_link.php?BAVMnr=158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www.bav-astro.de/sfs/BAVM_link.php?BAVMnr=225" TargetMode="External"/><Relationship Id="rId50" Type="http://schemas.openxmlformats.org/officeDocument/2006/relationships/hyperlink" Target="http://www.bav-astro.de/sfs/BAVM_link.php?BAVMnr=225" TargetMode="External"/><Relationship Id="rId55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35" TargetMode="External"/><Relationship Id="rId2" Type="http://schemas.openxmlformats.org/officeDocument/2006/relationships/hyperlink" Target="http://www.bav-astro.de/sfs/BAVM_link.php?BAVMnr=135" TargetMode="External"/><Relationship Id="rId16" Type="http://schemas.openxmlformats.org/officeDocument/2006/relationships/hyperlink" Target="http://www.bav-astro.de/sfs/BAVM_link.php?BAVMnr=152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www.bav-astro.de/sfs/BAVM_link.php?BAVMnr=212" TargetMode="External"/><Relationship Id="rId54" Type="http://schemas.openxmlformats.org/officeDocument/2006/relationships/hyperlink" Target="http://www.bav-astro.de/sfs/BAVM_link.php?BAVMnr=234" TargetMode="External"/><Relationship Id="rId62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135" TargetMode="External"/><Relationship Id="rId6" Type="http://schemas.openxmlformats.org/officeDocument/2006/relationships/hyperlink" Target="http://www.bav-astro.de/sfs/BAVM_link.php?BAVMnr=135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www.bav-astro.de/sfs/BAVM_link.php?BAVMnr=215" TargetMode="External"/><Relationship Id="rId40" Type="http://schemas.openxmlformats.org/officeDocument/2006/relationships/hyperlink" Target="http://www.bav-astro.de/sfs/BAVM_link.php?BAVMnr=212" TargetMode="External"/><Relationship Id="rId45" Type="http://schemas.openxmlformats.org/officeDocument/2006/relationships/hyperlink" Target="http://www.konkoly.hu/cgi-bin/IBVS?5960" TargetMode="External"/><Relationship Id="rId53" Type="http://schemas.openxmlformats.org/officeDocument/2006/relationships/hyperlink" Target="http://www.bav-astro.de/sfs/BAVM_link.php?BAVMnr=231" TargetMode="External"/><Relationship Id="rId58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35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183" TargetMode="External"/><Relationship Id="rId49" Type="http://schemas.openxmlformats.org/officeDocument/2006/relationships/hyperlink" Target="http://www.bav-astro.de/sfs/BAVM_link.php?BAVMnr=225" TargetMode="External"/><Relationship Id="rId57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35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www.bav-astro.de/sfs/BAVM_link.php?BAVMnr=215" TargetMode="External"/><Relationship Id="rId52" Type="http://schemas.openxmlformats.org/officeDocument/2006/relationships/hyperlink" Target="http://www.bav-astro.de/sfs/BAVM_link.php?BAVMnr=231" TargetMode="External"/><Relationship Id="rId6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135" TargetMode="External"/><Relationship Id="rId9" Type="http://schemas.openxmlformats.org/officeDocument/2006/relationships/hyperlink" Target="http://www.bav-astro.de/sfs/BAVM_link.php?BAVMnr=135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58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www.bav-astro.de/sfs/BAVM_link.php?BAVMnr=225" TargetMode="External"/><Relationship Id="rId56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135" TargetMode="External"/><Relationship Id="rId51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35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bav-astro.de/sfs/BAVM_link.php?BAVMnr=215" TargetMode="External"/><Relationship Id="rId46" Type="http://schemas.openxmlformats.org/officeDocument/2006/relationships/hyperlink" Target="http://www.bav-astro.de/sfs/BAVM_link.php?BAVMnr=225" TargetMode="External"/><Relationship Id="rId5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workbookViewId="0">
      <pane xSplit="14" ySplit="21" topLeftCell="O7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28515625" customWidth="1"/>
    <col min="3" max="3" width="11.85546875" customWidth="1"/>
    <col min="4" max="4" width="9.42578125" customWidth="1"/>
    <col min="5" max="5" width="10.855468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9.140625" customWidth="1"/>
    <col min="17" max="17" width="9.85546875" customWidth="1"/>
  </cols>
  <sheetData>
    <row r="1" spans="1:23" ht="21" thickBot="1" x14ac:dyDescent="0.35">
      <c r="A1" s="1" t="s">
        <v>40</v>
      </c>
      <c r="C1" s="19"/>
      <c r="V1" s="7" t="s">
        <v>11</v>
      </c>
      <c r="W1" s="9" t="s">
        <v>24</v>
      </c>
    </row>
    <row r="2" spans="1:23" x14ac:dyDescent="0.2">
      <c r="A2" t="s">
        <v>27</v>
      </c>
      <c r="B2" t="s">
        <v>33</v>
      </c>
      <c r="V2" s="57">
        <v>0</v>
      </c>
      <c r="W2" s="57">
        <f t="shared" ref="W2:W17" si="0">+D$11+D$12*V2+D$13*V2^2</f>
        <v>1.0042481580202184E-4</v>
      </c>
    </row>
    <row r="3" spans="1:23" ht="13.5" thickBot="1" x14ac:dyDescent="0.25">
      <c r="V3" s="57">
        <v>1000</v>
      </c>
      <c r="W3" s="57">
        <f t="shared" si="0"/>
        <v>-2.0354087831943269E-4</v>
      </c>
    </row>
    <row r="4" spans="1:23" ht="14.25" thickTop="1" thickBot="1" x14ac:dyDescent="0.25">
      <c r="A4" s="8" t="s">
        <v>1</v>
      </c>
      <c r="C4" s="17" t="s">
        <v>39</v>
      </c>
      <c r="D4" s="18" t="s">
        <v>39</v>
      </c>
      <c r="V4" s="57">
        <v>2000</v>
      </c>
      <c r="W4" s="57">
        <f t="shared" si="0"/>
        <v>2.6711982204243295E-6</v>
      </c>
    </row>
    <row r="5" spans="1:23" ht="13.5" thickTop="1" x14ac:dyDescent="0.2">
      <c r="A5" s="32" t="s">
        <v>46</v>
      </c>
      <c r="B5" s="31"/>
      <c r="C5" s="33">
        <v>-9.5</v>
      </c>
      <c r="D5" s="31" t="s">
        <v>47</v>
      </c>
      <c r="V5" s="57">
        <v>3000</v>
      </c>
      <c r="W5" s="57">
        <f t="shared" si="0"/>
        <v>7.1906104542159271E-4</v>
      </c>
    </row>
    <row r="6" spans="1:23" x14ac:dyDescent="0.2">
      <c r="A6" s="8" t="s">
        <v>2</v>
      </c>
      <c r="D6" s="29"/>
      <c r="V6" s="57">
        <v>4000</v>
      </c>
      <c r="W6" s="57">
        <f t="shared" si="0"/>
        <v>1.9456286632840731E-3</v>
      </c>
    </row>
    <row r="7" spans="1:23" x14ac:dyDescent="0.2">
      <c r="A7" t="s">
        <v>3</v>
      </c>
      <c r="C7" s="21">
        <v>51817.549500000001</v>
      </c>
      <c r="D7" s="29" t="s">
        <v>32</v>
      </c>
      <c r="E7" s="29" t="s">
        <v>52</v>
      </c>
      <c r="V7" s="57">
        <v>5000</v>
      </c>
      <c r="W7" s="57">
        <f t="shared" si="0"/>
        <v>3.6823740518078648E-3</v>
      </c>
    </row>
    <row r="8" spans="1:23" x14ac:dyDescent="0.2">
      <c r="A8" t="s">
        <v>4</v>
      </c>
      <c r="C8" s="21">
        <v>0.30891200000000002</v>
      </c>
      <c r="D8" s="30">
        <v>5024</v>
      </c>
      <c r="E8" s="29" t="s">
        <v>42</v>
      </c>
      <c r="V8" s="57">
        <v>6000</v>
      </c>
      <c r="W8" s="57">
        <f t="shared" si="0"/>
        <v>5.9292972109929679E-3</v>
      </c>
    </row>
    <row r="9" spans="1:23" x14ac:dyDescent="0.2">
      <c r="A9" s="42" t="s">
        <v>53</v>
      </c>
      <c r="B9" s="43">
        <v>65</v>
      </c>
      <c r="C9" s="40" t="str">
        <f>"F"&amp;B9</f>
        <v>F65</v>
      </c>
      <c r="D9" s="41" t="str">
        <f>"G"&amp;B9</f>
        <v>G65</v>
      </c>
      <c r="V9" s="57">
        <v>7000</v>
      </c>
      <c r="W9" s="57">
        <f t="shared" si="0"/>
        <v>8.6863981408393815E-3</v>
      </c>
    </row>
    <row r="10" spans="1:23" ht="13.5" thickBot="1" x14ac:dyDescent="0.25">
      <c r="A10" s="31"/>
      <c r="B10" s="31"/>
      <c r="C10" s="7" t="s">
        <v>22</v>
      </c>
      <c r="D10" s="7" t="s">
        <v>23</v>
      </c>
      <c r="E10" s="31"/>
      <c r="V10" s="57">
        <v>8000</v>
      </c>
      <c r="W10" s="57">
        <f t="shared" si="0"/>
        <v>1.195367684134711E-2</v>
      </c>
    </row>
    <row r="11" spans="1:23" x14ac:dyDescent="0.2">
      <c r="A11" s="31" t="s">
        <v>17</v>
      </c>
      <c r="B11" s="31"/>
      <c r="C11" s="39">
        <f ca="1">INTERCEPT(INDIRECT($D$9):G985,INDIRECT($C$9):F985)</f>
        <v>-6.2624474541650821E-2</v>
      </c>
      <c r="D11" s="6">
        <f>+E11*F11</f>
        <v>1.0042481580202184E-4</v>
      </c>
      <c r="E11" s="59">
        <v>1.0042481580202184E-4</v>
      </c>
      <c r="F11">
        <v>1</v>
      </c>
      <c r="V11" s="57">
        <v>9000</v>
      </c>
      <c r="W11" s="57">
        <f t="shared" si="0"/>
        <v>1.5731133312516146E-2</v>
      </c>
    </row>
    <row r="12" spans="1:23" x14ac:dyDescent="0.2">
      <c r="A12" s="31" t="s">
        <v>18</v>
      </c>
      <c r="B12" s="31"/>
      <c r="C12" s="39">
        <f ca="1">SLOPE(INDIRECT($D$9):G985,INDIRECT($C$9):F985)</f>
        <v>7.5241419064272873E-6</v>
      </c>
      <c r="D12" s="6">
        <f>+E12*F12</f>
        <v>-5.5905457945211035E-7</v>
      </c>
      <c r="E12" s="60">
        <v>-5.5905457945211031E-3</v>
      </c>
      <c r="F12" s="61">
        <v>1E-4</v>
      </c>
      <c r="V12" s="57">
        <v>10000</v>
      </c>
      <c r="W12" s="57">
        <f t="shared" si="0"/>
        <v>2.0018767554346496E-2</v>
      </c>
    </row>
    <row r="13" spans="1:23" ht="13.5" thickBot="1" x14ac:dyDescent="0.25">
      <c r="A13" s="31" t="s">
        <v>21</v>
      </c>
      <c r="B13" s="31"/>
      <c r="C13" s="6" t="s">
        <v>15</v>
      </c>
      <c r="D13" s="6">
        <f>+E13*F13</f>
        <v>2.5508888533065577E-10</v>
      </c>
      <c r="E13" s="62">
        <v>2.5508888533065575E-2</v>
      </c>
      <c r="F13" s="61">
        <v>1E-8</v>
      </c>
      <c r="V13" s="57">
        <v>11000</v>
      </c>
      <c r="W13" s="57">
        <f t="shared" si="0"/>
        <v>2.4816579566838155E-2</v>
      </c>
    </row>
    <row r="14" spans="1:23" x14ac:dyDescent="0.2">
      <c r="A14" s="31"/>
      <c r="B14" s="31"/>
      <c r="C14" s="31"/>
      <c r="E14">
        <f>SUM(T21:T950)</f>
        <v>3.5958718659853656E-4</v>
      </c>
      <c r="V14" s="57">
        <v>12000</v>
      </c>
      <c r="W14" s="57">
        <f t="shared" si="0"/>
        <v>3.012456934999113E-2</v>
      </c>
    </row>
    <row r="15" spans="1:23" x14ac:dyDescent="0.2">
      <c r="A15" s="34" t="s">
        <v>19</v>
      </c>
      <c r="B15" s="31"/>
      <c r="C15" s="22">
        <f ca="1">(C7+C11)+(C8+C12)*INT(MAX(F21:F3526))</f>
        <v>57995.568438839444</v>
      </c>
      <c r="D15" s="41">
        <f>+C7+INT(MAX(F21:F1588))*C8+D11+D12*INT(MAX(F21:F4023))+D13*INT(MAX(F21:F4050)^2)</f>
        <v>57995.571533243114</v>
      </c>
      <c r="E15" s="35" t="s">
        <v>54</v>
      </c>
      <c r="F15" s="33">
        <v>1</v>
      </c>
      <c r="V15" s="57">
        <v>13000</v>
      </c>
      <c r="W15" s="57">
        <f t="shared" si="0"/>
        <v>3.5942736903805408E-2</v>
      </c>
    </row>
    <row r="16" spans="1:23" x14ac:dyDescent="0.2">
      <c r="A16" s="37" t="s">
        <v>5</v>
      </c>
      <c r="B16" s="31"/>
      <c r="C16" s="23">
        <f ca="1">+C8+C12</f>
        <v>0.30891952414190643</v>
      </c>
      <c r="D16" s="41">
        <f>+C8+D12+2*D13*MAX(F21:F896)</f>
        <v>0.30892164399065603</v>
      </c>
      <c r="E16" s="35" t="s">
        <v>48</v>
      </c>
      <c r="F16" s="36">
        <f ca="1">NOW()+15018.5+$C$5/24</f>
        <v>60357.707355902778</v>
      </c>
      <c r="V16" s="57">
        <v>14000</v>
      </c>
      <c r="W16" s="57">
        <f t="shared" si="0"/>
        <v>4.2271082228281007E-2</v>
      </c>
    </row>
    <row r="17" spans="1:23" ht="13.5" thickBot="1" x14ac:dyDescent="0.25">
      <c r="A17" s="35" t="s">
        <v>44</v>
      </c>
      <c r="B17" s="31"/>
      <c r="C17" s="31">
        <f>COUNT(C21:C2184)</f>
        <v>69</v>
      </c>
      <c r="E17" s="35" t="s">
        <v>55</v>
      </c>
      <c r="F17" s="36">
        <f ca="1">ROUND(2*(F16-$C$7)/$C$8,0)/2+F15</f>
        <v>27647</v>
      </c>
      <c r="V17" s="57">
        <v>15000</v>
      </c>
      <c r="W17" s="57">
        <f t="shared" si="0"/>
        <v>4.9109605323417918E-2</v>
      </c>
    </row>
    <row r="18" spans="1:23" ht="14.25" thickTop="1" thickBot="1" x14ac:dyDescent="0.25">
      <c r="A18" s="8" t="s">
        <v>64</v>
      </c>
      <c r="C18" s="63">
        <f ca="1">+C15</f>
        <v>57995.568438839444</v>
      </c>
      <c r="D18" s="64">
        <f ca="1">C16</f>
        <v>0.30891952414190643</v>
      </c>
      <c r="E18" s="35" t="s">
        <v>49</v>
      </c>
      <c r="F18" s="41">
        <f ca="1">ROUND(2*(F16-$C$15)/$C$16,0)/2+F15</f>
        <v>7647.5</v>
      </c>
    </row>
    <row r="19" spans="1:23" ht="13.5" thickBot="1" x14ac:dyDescent="0.25">
      <c r="A19" s="8" t="s">
        <v>65</v>
      </c>
      <c r="C19" s="65">
        <f>+D15</f>
        <v>57995.571533243114</v>
      </c>
      <c r="D19" s="66">
        <f>+D16</f>
        <v>0.30892164399065603</v>
      </c>
      <c r="E19" s="35" t="s">
        <v>50</v>
      </c>
      <c r="F19" s="38">
        <f ca="1">+$C$15+$C$16*F18-15018.5-$C$5/24</f>
        <v>45339.92633304801</v>
      </c>
    </row>
    <row r="20" spans="1:23" ht="1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75</v>
      </c>
      <c r="I20" s="10" t="s">
        <v>78</v>
      </c>
      <c r="J20" s="10" t="s">
        <v>72</v>
      </c>
      <c r="K20" s="10" t="s">
        <v>70</v>
      </c>
      <c r="L20" s="10" t="s">
        <v>29</v>
      </c>
      <c r="M20" s="10" t="s">
        <v>30</v>
      </c>
      <c r="N20" s="10" t="s">
        <v>31</v>
      </c>
      <c r="O20" s="10" t="s">
        <v>25</v>
      </c>
      <c r="P20" s="52" t="s">
        <v>24</v>
      </c>
      <c r="Q20" s="7" t="s">
        <v>16</v>
      </c>
      <c r="R20" s="53" t="s">
        <v>60</v>
      </c>
      <c r="S20" s="9" t="s">
        <v>61</v>
      </c>
      <c r="T20" s="53" t="s">
        <v>62</v>
      </c>
      <c r="U20" s="54" t="s">
        <v>63</v>
      </c>
    </row>
    <row r="21" spans="1:23" x14ac:dyDescent="0.2">
      <c r="A21" s="15" t="s">
        <v>38</v>
      </c>
      <c r="B21" s="6" t="s">
        <v>37</v>
      </c>
      <c r="C21" s="15">
        <v>51771.369899999998</v>
      </c>
      <c r="D21" s="14"/>
      <c r="E21">
        <f t="shared" ref="E21:E52" si="1">+(C21-C$7)/C$8</f>
        <v>-149.49111721138419</v>
      </c>
      <c r="F21">
        <f t="shared" ref="F21:F52" si="2">ROUND(2*E21,0)/2</f>
        <v>-149.5</v>
      </c>
      <c r="G21">
        <f t="shared" ref="G21:G52" si="3">+C21-(C$7+F21*C$8)</f>
        <v>2.7439999976195395E-3</v>
      </c>
      <c r="K21">
        <f>+G21</f>
        <v>2.7439999976195395E-3</v>
      </c>
      <c r="P21" s="55">
        <f t="shared" ref="P21:P52" si="4">+D$11+D$12*F21+D$13*F21^2</f>
        <v>1.8970477578947382E-4</v>
      </c>
      <c r="Q21" s="56">
        <f t="shared" ref="Q21:Q52" si="5">+C21-15018.5</f>
        <v>36752.869899999998</v>
      </c>
      <c r="R21" s="57">
        <f t="shared" ref="R21:R52" si="6">+(P21-G21)^2</f>
        <v>6.5244240802639057E-6</v>
      </c>
      <c r="S21" s="67">
        <v>1</v>
      </c>
      <c r="T21" s="57">
        <f t="shared" ref="T21:T52" si="7">+S21*R21</f>
        <v>6.5244240802639057E-6</v>
      </c>
      <c r="U21" s="58"/>
    </row>
    <row r="22" spans="1:23" x14ac:dyDescent="0.2">
      <c r="A22" s="15" t="s">
        <v>38</v>
      </c>
      <c r="B22" s="6" t="s">
        <v>36</v>
      </c>
      <c r="C22" s="15">
        <v>51771.522599999997</v>
      </c>
      <c r="D22" s="14"/>
      <c r="E22">
        <f t="shared" si="1"/>
        <v>-148.99680167816203</v>
      </c>
      <c r="F22">
        <f t="shared" si="2"/>
        <v>-149</v>
      </c>
      <c r="G22">
        <f t="shared" si="3"/>
        <v>9.8799999250331894E-4</v>
      </c>
      <c r="K22">
        <f>+G22</f>
        <v>9.8799999250331894E-4</v>
      </c>
      <c r="P22" s="55">
        <f t="shared" si="4"/>
        <v>1.8938717648361218E-4</v>
      </c>
      <c r="Q22" s="2">
        <f t="shared" si="5"/>
        <v>36753.022599999997</v>
      </c>
      <c r="R22" s="57">
        <f t="shared" si="6"/>
        <v>6.3778242991092597E-7</v>
      </c>
      <c r="S22" s="67">
        <v>1</v>
      </c>
      <c r="T22" s="57">
        <f t="shared" si="7"/>
        <v>6.3778242991092597E-7</v>
      </c>
    </row>
    <row r="23" spans="1:23" x14ac:dyDescent="0.2">
      <c r="A23" s="15" t="s">
        <v>38</v>
      </c>
      <c r="B23" s="6" t="s">
        <v>36</v>
      </c>
      <c r="C23" s="15">
        <v>51816.001308333332</v>
      </c>
      <c r="D23" s="14"/>
      <c r="E23">
        <f t="shared" si="1"/>
        <v>-5.0117563146416195</v>
      </c>
      <c r="F23">
        <f t="shared" si="2"/>
        <v>-5</v>
      </c>
      <c r="G23">
        <f t="shared" si="3"/>
        <v>-3.6316666664788499E-3</v>
      </c>
      <c r="K23">
        <f>+G23</f>
        <v>-3.6316666664788499E-3</v>
      </c>
      <c r="P23" s="55">
        <f t="shared" si="4"/>
        <v>1.0322646592141566E-4</v>
      </c>
      <c r="Q23" s="2">
        <f t="shared" si="5"/>
        <v>36797.501308333332</v>
      </c>
      <c r="R23" s="57">
        <f t="shared" si="6"/>
        <v>1.3949426710450668E-5</v>
      </c>
      <c r="S23" s="67">
        <v>1</v>
      </c>
      <c r="T23" s="57">
        <f t="shared" si="7"/>
        <v>1.3949426710450668E-5</v>
      </c>
    </row>
    <row r="24" spans="1:23" x14ac:dyDescent="0.2">
      <c r="A24" s="83" t="s">
        <v>85</v>
      </c>
      <c r="B24" s="84" t="s">
        <v>36</v>
      </c>
      <c r="C24" s="85">
        <v>51816.313999999998</v>
      </c>
      <c r="E24">
        <f t="shared" si="1"/>
        <v>-3.9995208991638487</v>
      </c>
      <c r="F24">
        <f t="shared" si="2"/>
        <v>-4</v>
      </c>
      <c r="G24">
        <f t="shared" si="3"/>
        <v>1.4799999917158857E-4</v>
      </c>
      <c r="I24">
        <f>+G24</f>
        <v>1.4799999917158857E-4</v>
      </c>
      <c r="O24">
        <f ca="1">+C$11+C$12*$F24</f>
        <v>-6.2654571109276525E-2</v>
      </c>
      <c r="P24" s="55">
        <f t="shared" si="4"/>
        <v>1.0266511554199557E-4</v>
      </c>
      <c r="Q24" s="2">
        <f t="shared" si="5"/>
        <v>36797.813999999998</v>
      </c>
      <c r="R24" s="57">
        <f t="shared" si="6"/>
        <v>2.0552516737087388E-9</v>
      </c>
      <c r="S24" s="67">
        <v>0.1</v>
      </c>
      <c r="T24" s="57">
        <f t="shared" si="7"/>
        <v>2.0552516737087389E-10</v>
      </c>
    </row>
    <row r="25" spans="1:23" x14ac:dyDescent="0.2">
      <c r="A25" s="15" t="s">
        <v>38</v>
      </c>
      <c r="B25" s="6" t="s">
        <v>37</v>
      </c>
      <c r="C25" s="15">
        <v>51816.469100000002</v>
      </c>
      <c r="D25" s="14"/>
      <c r="E25">
        <f t="shared" si="1"/>
        <v>-3.4974361630461663</v>
      </c>
      <c r="F25">
        <f t="shared" si="2"/>
        <v>-3.5</v>
      </c>
      <c r="G25">
        <f t="shared" si="3"/>
        <v>7.9199999890988693E-4</v>
      </c>
      <c r="K25">
        <f t="shared" ref="K25:K31" si="8">+G25</f>
        <v>7.9199999890988693E-4</v>
      </c>
      <c r="P25" s="55">
        <f t="shared" si="4"/>
        <v>1.0238463166894953E-4</v>
      </c>
      <c r="Q25" s="2">
        <f t="shared" si="5"/>
        <v>36797.969100000002</v>
      </c>
      <c r="R25" s="57">
        <f t="shared" si="6"/>
        <v>4.7556935473485296E-7</v>
      </c>
      <c r="S25" s="67">
        <v>1</v>
      </c>
      <c r="T25" s="57">
        <f t="shared" si="7"/>
        <v>4.7556935473485296E-7</v>
      </c>
    </row>
    <row r="26" spans="1:23" x14ac:dyDescent="0.2">
      <c r="A26" s="15" t="s">
        <v>38</v>
      </c>
      <c r="B26" s="6" t="s">
        <v>36</v>
      </c>
      <c r="C26" s="15">
        <v>51816.622100000001</v>
      </c>
      <c r="D26" s="14"/>
      <c r="E26">
        <f t="shared" si="1"/>
        <v>-3.0021494794649897</v>
      </c>
      <c r="F26">
        <f t="shared" si="2"/>
        <v>-3</v>
      </c>
      <c r="G26">
        <f t="shared" si="3"/>
        <v>-6.6399999923305586E-4</v>
      </c>
      <c r="K26">
        <f t="shared" si="8"/>
        <v>-6.6399999923305586E-4</v>
      </c>
      <c r="P26" s="55">
        <f t="shared" si="4"/>
        <v>1.0210427534034616E-4</v>
      </c>
      <c r="Q26" s="2">
        <f t="shared" si="5"/>
        <v>36798.122100000001</v>
      </c>
      <c r="R26" s="57">
        <f t="shared" si="6"/>
        <v>5.8691575951963845E-7</v>
      </c>
      <c r="S26" s="67">
        <v>1</v>
      </c>
      <c r="T26" s="57">
        <f t="shared" si="7"/>
        <v>5.8691575951963845E-7</v>
      </c>
    </row>
    <row r="27" spans="1:23" x14ac:dyDescent="0.2">
      <c r="A27" s="15" t="s">
        <v>38</v>
      </c>
      <c r="B27" s="6" t="s">
        <v>36</v>
      </c>
      <c r="C27" s="15">
        <v>51817.548900000002</v>
      </c>
      <c r="D27" s="14"/>
      <c r="E27">
        <f t="shared" si="1"/>
        <v>-1.9423007179864824E-3</v>
      </c>
      <c r="F27">
        <f t="shared" si="2"/>
        <v>0</v>
      </c>
      <c r="G27">
        <f t="shared" si="3"/>
        <v>-5.9999999939464033E-4</v>
      </c>
      <c r="K27">
        <f t="shared" si="8"/>
        <v>-5.9999999939464033E-4</v>
      </c>
      <c r="P27" s="55">
        <f t="shared" si="4"/>
        <v>1.0042481580202184E-4</v>
      </c>
      <c r="Q27" s="2">
        <f t="shared" si="5"/>
        <v>36799.048900000002</v>
      </c>
      <c r="R27" s="57">
        <f t="shared" si="6"/>
        <v>4.9059492174327841E-7</v>
      </c>
      <c r="S27" s="67">
        <v>1</v>
      </c>
      <c r="T27" s="57">
        <f t="shared" si="7"/>
        <v>4.9059492174327841E-7</v>
      </c>
    </row>
    <row r="28" spans="1:23" x14ac:dyDescent="0.2">
      <c r="A28" s="15" t="s">
        <v>38</v>
      </c>
      <c r="B28" s="6" t="s">
        <v>36</v>
      </c>
      <c r="C28" s="15">
        <v>51838.554799999998</v>
      </c>
      <c r="D28" s="6"/>
      <c r="E28">
        <f t="shared" si="1"/>
        <v>67.997682187798063</v>
      </c>
      <c r="F28">
        <f t="shared" si="2"/>
        <v>68</v>
      </c>
      <c r="G28">
        <f t="shared" si="3"/>
        <v>-7.1600000228499994E-4</v>
      </c>
      <c r="K28">
        <f t="shared" si="8"/>
        <v>-7.1600000228499994E-4</v>
      </c>
      <c r="P28" s="55">
        <f t="shared" si="4"/>
        <v>6.3588635405047292E-5</v>
      </c>
      <c r="Q28" s="2">
        <f t="shared" si="5"/>
        <v>36820.054799999998</v>
      </c>
      <c r="R28" s="57">
        <f t="shared" si="6"/>
        <v>6.0775844401542379E-7</v>
      </c>
      <c r="S28" s="67">
        <v>1</v>
      </c>
      <c r="T28" s="57">
        <f t="shared" si="7"/>
        <v>6.0775844401542379E-7</v>
      </c>
    </row>
    <row r="29" spans="1:23" x14ac:dyDescent="0.2">
      <c r="A29" s="15" t="s">
        <v>38</v>
      </c>
      <c r="B29" s="6" t="s">
        <v>37</v>
      </c>
      <c r="C29" s="15">
        <v>51839.328300000001</v>
      </c>
      <c r="D29" s="6"/>
      <c r="E29">
        <f t="shared" si="1"/>
        <v>70.501631532604904</v>
      </c>
      <c r="F29">
        <f t="shared" si="2"/>
        <v>70.5</v>
      </c>
      <c r="G29">
        <f t="shared" si="3"/>
        <v>5.0400000327499583E-4</v>
      </c>
      <c r="K29">
        <f t="shared" si="8"/>
        <v>5.0400000327499583E-4</v>
      </c>
      <c r="P29" s="55">
        <f t="shared" si="4"/>
        <v>6.2279323482962752E-5</v>
      </c>
      <c r="Q29" s="2">
        <f t="shared" si="5"/>
        <v>36820.828300000001</v>
      </c>
      <c r="R29" s="57">
        <f t="shared" si="6"/>
        <v>1.9511715895593584E-7</v>
      </c>
      <c r="S29" s="67">
        <v>1</v>
      </c>
      <c r="T29" s="57">
        <f t="shared" si="7"/>
        <v>1.9511715895593584E-7</v>
      </c>
    </row>
    <row r="30" spans="1:23" x14ac:dyDescent="0.2">
      <c r="A30" s="15" t="s">
        <v>38</v>
      </c>
      <c r="B30" s="6" t="s">
        <v>36</v>
      </c>
      <c r="C30" s="15">
        <v>51839.483099999998</v>
      </c>
      <c r="D30" s="6"/>
      <c r="E30">
        <f t="shared" si="1"/>
        <v>71.00274511834003</v>
      </c>
      <c r="F30">
        <f t="shared" si="2"/>
        <v>71</v>
      </c>
      <c r="G30">
        <f t="shared" si="3"/>
        <v>8.4799999604001641E-4</v>
      </c>
      <c r="K30">
        <f t="shared" si="8"/>
        <v>8.4799999604001641E-4</v>
      </c>
      <c r="P30" s="55">
        <f t="shared" si="4"/>
        <v>6.2017843731873836E-5</v>
      </c>
      <c r="Q30" s="2">
        <f t="shared" si="5"/>
        <v>36820.983099999998</v>
      </c>
      <c r="R30" s="57">
        <f t="shared" si="6"/>
        <v>6.1776794374694034E-7</v>
      </c>
      <c r="S30" s="67">
        <v>1</v>
      </c>
      <c r="T30" s="57">
        <f t="shared" si="7"/>
        <v>6.1776794374694034E-7</v>
      </c>
    </row>
    <row r="31" spans="1:23" x14ac:dyDescent="0.2">
      <c r="A31" s="15" t="s">
        <v>38</v>
      </c>
      <c r="B31" s="6" t="s">
        <v>37</v>
      </c>
      <c r="C31" s="15">
        <v>51890.001204166663</v>
      </c>
      <c r="D31" s="6"/>
      <c r="E31">
        <f t="shared" si="1"/>
        <v>234.5383286070539</v>
      </c>
      <c r="F31">
        <f t="shared" si="2"/>
        <v>234.5</v>
      </c>
      <c r="G31">
        <f t="shared" si="3"/>
        <v>1.1840166662295815E-2</v>
      </c>
      <c r="K31">
        <f t="shared" si="8"/>
        <v>1.1840166662295815E-2</v>
      </c>
      <c r="P31" s="55">
        <f t="shared" si="4"/>
        <v>-1.664608150294395E-5</v>
      </c>
      <c r="Q31" s="2">
        <f t="shared" si="5"/>
        <v>36871.501204166663</v>
      </c>
      <c r="R31" s="57">
        <f t="shared" si="6"/>
        <v>1.4058400844150864E-4</v>
      </c>
      <c r="S31" s="67">
        <v>1</v>
      </c>
      <c r="T31" s="57">
        <f t="shared" si="7"/>
        <v>1.4058400844150864E-4</v>
      </c>
    </row>
    <row r="32" spans="1:23" x14ac:dyDescent="0.2">
      <c r="A32" s="83" t="s">
        <v>85</v>
      </c>
      <c r="B32" s="84" t="s">
        <v>37</v>
      </c>
      <c r="C32" s="85">
        <v>51890.288999999997</v>
      </c>
      <c r="E32">
        <f t="shared" si="1"/>
        <v>235.46997203085681</v>
      </c>
      <c r="F32">
        <f t="shared" si="2"/>
        <v>235.5</v>
      </c>
      <c r="G32">
        <f t="shared" si="3"/>
        <v>-9.2760000043199398E-3</v>
      </c>
      <c r="I32">
        <f>+G32</f>
        <v>-9.2760000043199398E-3</v>
      </c>
      <c r="O32">
        <f ca="1">+C$11+C$12*$F32</f>
        <v>-6.0852539122687198E-2</v>
      </c>
      <c r="P32" s="55">
        <f t="shared" si="4"/>
        <v>-1.7085244306290658E-5</v>
      </c>
      <c r="Q32" s="2">
        <f t="shared" si="5"/>
        <v>36871.788999999997</v>
      </c>
      <c r="R32" s="57">
        <f t="shared" si="6"/>
        <v>8.5727502533198608E-5</v>
      </c>
      <c r="S32" s="67">
        <v>0.1</v>
      </c>
      <c r="T32" s="57">
        <f t="shared" si="7"/>
        <v>8.5727502533198618E-6</v>
      </c>
    </row>
    <row r="33" spans="1:20" x14ac:dyDescent="0.2">
      <c r="A33" s="11" t="s">
        <v>34</v>
      </c>
      <c r="B33" s="16"/>
      <c r="C33" s="15">
        <v>51901.2644</v>
      </c>
      <c r="D33" s="6">
        <v>4.0000000000000002E-4</v>
      </c>
      <c r="E33">
        <f t="shared" si="1"/>
        <v>270.99918423369445</v>
      </c>
      <c r="F33">
        <f t="shared" si="2"/>
        <v>271</v>
      </c>
      <c r="G33">
        <f t="shared" si="3"/>
        <v>-2.5199999799951911E-4</v>
      </c>
      <c r="J33">
        <f t="shared" ref="J33:J54" si="9">+G33</f>
        <v>-2.5199999799951911E-4</v>
      </c>
      <c r="P33" s="55">
        <f t="shared" si="4"/>
        <v>-3.2344992401931371E-5</v>
      </c>
      <c r="Q33" s="2">
        <f t="shared" si="5"/>
        <v>36882.7644</v>
      </c>
      <c r="R33" s="57">
        <f t="shared" si="6"/>
        <v>4.8248321484076301E-8</v>
      </c>
      <c r="S33" s="67">
        <v>1</v>
      </c>
      <c r="T33" s="57">
        <f t="shared" si="7"/>
        <v>4.8248321484076301E-8</v>
      </c>
    </row>
    <row r="34" spans="1:20" x14ac:dyDescent="0.2">
      <c r="A34" s="11" t="s">
        <v>34</v>
      </c>
      <c r="B34" s="16"/>
      <c r="C34" s="15">
        <v>52083.521000000001</v>
      </c>
      <c r="D34" s="6">
        <v>8.0000000000000004E-4</v>
      </c>
      <c r="E34">
        <f t="shared" si="1"/>
        <v>860.99439322525393</v>
      </c>
      <c r="F34">
        <f t="shared" si="2"/>
        <v>861</v>
      </c>
      <c r="G34">
        <f t="shared" si="3"/>
        <v>-1.7319999969913624E-3</v>
      </c>
      <c r="J34">
        <f t="shared" si="9"/>
        <v>-1.7319999969913624E-3</v>
      </c>
      <c r="P34" s="55">
        <f t="shared" si="4"/>
        <v>-1.9181842954403807E-4</v>
      </c>
      <c r="Q34" s="2">
        <f t="shared" si="5"/>
        <v>37065.021000000001</v>
      </c>
      <c r="R34" s="57">
        <f t="shared" si="6"/>
        <v>2.3721592607044972E-6</v>
      </c>
      <c r="S34" s="67">
        <v>1</v>
      </c>
      <c r="T34" s="57">
        <f t="shared" si="7"/>
        <v>2.3721592607044972E-6</v>
      </c>
    </row>
    <row r="35" spans="1:20" x14ac:dyDescent="0.2">
      <c r="A35" s="11" t="s">
        <v>34</v>
      </c>
      <c r="B35" s="16"/>
      <c r="C35" s="15">
        <v>52084.447399999997</v>
      </c>
      <c r="D35" s="6">
        <v>4.0000000000000002E-4</v>
      </c>
      <c r="E35">
        <f t="shared" si="1"/>
        <v>863.9933055368399</v>
      </c>
      <c r="F35">
        <f t="shared" si="2"/>
        <v>864</v>
      </c>
      <c r="G35">
        <f t="shared" si="3"/>
        <v>-2.0680000016000122E-3</v>
      </c>
      <c r="J35">
        <f t="shared" si="9"/>
        <v>-2.0680000016000122E-3</v>
      </c>
      <c r="P35" s="55">
        <f t="shared" si="4"/>
        <v>-1.9217550830080829E-4</v>
      </c>
      <c r="Q35" s="2">
        <f t="shared" si="5"/>
        <v>37065.947399999997</v>
      </c>
      <c r="R35" s="57">
        <f t="shared" si="6"/>
        <v>3.5187175296612149E-6</v>
      </c>
      <c r="S35" s="67">
        <v>1</v>
      </c>
      <c r="T35" s="57">
        <f t="shared" si="7"/>
        <v>3.5187175296612149E-6</v>
      </c>
    </row>
    <row r="36" spans="1:20" x14ac:dyDescent="0.2">
      <c r="A36" s="11" t="s">
        <v>34</v>
      </c>
      <c r="B36" s="16"/>
      <c r="C36" s="15">
        <v>52113.486700000001</v>
      </c>
      <c r="D36" s="6">
        <v>1E-3</v>
      </c>
      <c r="E36">
        <f t="shared" si="1"/>
        <v>957.99839436473906</v>
      </c>
      <c r="F36">
        <f t="shared" si="2"/>
        <v>958</v>
      </c>
      <c r="G36">
        <f t="shared" si="3"/>
        <v>-4.9600000056670979E-4</v>
      </c>
      <c r="J36">
        <f t="shared" si="9"/>
        <v>-4.9600000056670979E-4</v>
      </c>
      <c r="P36" s="55">
        <f t="shared" si="4"/>
        <v>-2.0103807555649594E-4</v>
      </c>
      <c r="Q36" s="2">
        <f t="shared" si="5"/>
        <v>37094.986700000001</v>
      </c>
      <c r="R36" s="57">
        <f t="shared" si="6"/>
        <v>8.7002537205731031E-8</v>
      </c>
      <c r="S36" s="67">
        <v>1</v>
      </c>
      <c r="T36" s="57">
        <f t="shared" si="7"/>
        <v>8.7002537205731031E-8</v>
      </c>
    </row>
    <row r="37" spans="1:20" x14ac:dyDescent="0.2">
      <c r="A37" s="11" t="s">
        <v>34</v>
      </c>
      <c r="B37" s="16"/>
      <c r="C37" s="15">
        <v>52134.492899999997</v>
      </c>
      <c r="D37" s="6">
        <v>1.8E-3</v>
      </c>
      <c r="E37">
        <f t="shared" si="1"/>
        <v>1025.9989900036142</v>
      </c>
      <c r="F37">
        <f t="shared" si="2"/>
        <v>1026</v>
      </c>
      <c r="G37">
        <f t="shared" si="3"/>
        <v>-3.1200000375974923E-4</v>
      </c>
      <c r="J37">
        <f t="shared" si="9"/>
        <v>-3.1200000375974923E-4</v>
      </c>
      <c r="P37" s="55">
        <f t="shared" si="4"/>
        <v>-2.0463923526150993E-4</v>
      </c>
      <c r="Q37" s="2">
        <f t="shared" si="5"/>
        <v>37115.992899999997</v>
      </c>
      <c r="R37" s="57">
        <f t="shared" si="6"/>
        <v>1.1526334612532533E-8</v>
      </c>
      <c r="S37" s="67">
        <v>1</v>
      </c>
      <c r="T37" s="57">
        <f t="shared" si="7"/>
        <v>1.1526334612532533E-8</v>
      </c>
    </row>
    <row r="38" spans="1:20" x14ac:dyDescent="0.2">
      <c r="A38" s="11" t="s">
        <v>34</v>
      </c>
      <c r="B38" s="16"/>
      <c r="C38" s="15">
        <v>52194.417999999998</v>
      </c>
      <c r="D38" s="6">
        <v>5.0000000000000001E-4</v>
      </c>
      <c r="E38">
        <f t="shared" si="1"/>
        <v>1219.9865981250221</v>
      </c>
      <c r="F38">
        <f t="shared" si="2"/>
        <v>1220</v>
      </c>
      <c r="G38">
        <f t="shared" si="3"/>
        <v>-4.1400000045541674E-3</v>
      </c>
      <c r="J38">
        <f t="shared" si="9"/>
        <v>-4.1400000045541674E-3</v>
      </c>
      <c r="P38" s="55">
        <f t="shared" si="4"/>
        <v>-2.0194747420340469E-4</v>
      </c>
      <c r="Q38" s="2">
        <f t="shared" si="5"/>
        <v>37175.917999999998</v>
      </c>
      <c r="R38" s="57">
        <f t="shared" si="6"/>
        <v>1.5508257731802044E-5</v>
      </c>
      <c r="S38" s="67">
        <v>1</v>
      </c>
      <c r="T38" s="57">
        <f t="shared" si="7"/>
        <v>1.5508257731802044E-5</v>
      </c>
    </row>
    <row r="39" spans="1:20" x14ac:dyDescent="0.2">
      <c r="A39" s="11" t="s">
        <v>34</v>
      </c>
      <c r="B39" s="6" t="s">
        <v>37</v>
      </c>
      <c r="C39" s="15">
        <v>52194.574399999998</v>
      </c>
      <c r="D39" s="6">
        <v>5.5999999999999999E-3</v>
      </c>
      <c r="E39">
        <f t="shared" si="1"/>
        <v>1220.4928911793543</v>
      </c>
      <c r="F39">
        <f t="shared" si="2"/>
        <v>1220.5</v>
      </c>
      <c r="G39">
        <f t="shared" si="3"/>
        <v>-2.1960000012768432E-3</v>
      </c>
      <c r="J39">
        <f t="shared" si="9"/>
        <v>-2.1960000012768432E-3</v>
      </c>
      <c r="P39" s="55">
        <f t="shared" si="4"/>
        <v>-2.0191572928080609E-4</v>
      </c>
      <c r="Q39" s="2">
        <f t="shared" si="5"/>
        <v>37176.074399999998</v>
      </c>
      <c r="R39" s="57">
        <f t="shared" si="6"/>
        <v>3.9763720838219644E-6</v>
      </c>
      <c r="S39" s="67">
        <v>1</v>
      </c>
      <c r="T39" s="57">
        <f t="shared" si="7"/>
        <v>3.9763720838219644E-6</v>
      </c>
    </row>
    <row r="40" spans="1:20" x14ac:dyDescent="0.2">
      <c r="A40" s="11" t="s">
        <v>34</v>
      </c>
      <c r="B40" s="16"/>
      <c r="C40" s="15">
        <v>52228.403299999998</v>
      </c>
      <c r="D40" s="6">
        <v>1.4E-3</v>
      </c>
      <c r="E40">
        <f t="shared" si="1"/>
        <v>1330.0027192209986</v>
      </c>
      <c r="F40">
        <f t="shared" si="2"/>
        <v>1330</v>
      </c>
      <c r="G40">
        <f t="shared" si="3"/>
        <v>8.4000000060768798E-4</v>
      </c>
      <c r="J40">
        <f t="shared" si="9"/>
        <v>8.4000000060768798E-4</v>
      </c>
      <c r="P40" s="55">
        <f t="shared" si="4"/>
        <v>-1.9189104560788799E-4</v>
      </c>
      <c r="Q40" s="2">
        <f t="shared" si="5"/>
        <v>37209.903299999998</v>
      </c>
      <c r="R40" s="57">
        <f t="shared" si="6"/>
        <v>1.0647991312598757E-6</v>
      </c>
      <c r="S40" s="67">
        <v>1</v>
      </c>
      <c r="T40" s="57">
        <f t="shared" si="7"/>
        <v>1.0647991312598757E-6</v>
      </c>
    </row>
    <row r="41" spans="1:20" x14ac:dyDescent="0.2">
      <c r="A41" s="11" t="s">
        <v>34</v>
      </c>
      <c r="B41" s="6" t="s">
        <v>37</v>
      </c>
      <c r="C41" s="15">
        <v>52228.557699999998</v>
      </c>
      <c r="D41" s="6">
        <v>5.0000000000000001E-4</v>
      </c>
      <c r="E41">
        <f t="shared" si="1"/>
        <v>1330.5025379395963</v>
      </c>
      <c r="F41">
        <f t="shared" si="2"/>
        <v>1330.5</v>
      </c>
      <c r="G41">
        <f t="shared" si="3"/>
        <v>7.8399999620160088E-4</v>
      </c>
      <c r="J41">
        <f t="shared" si="9"/>
        <v>7.8399999620160088E-4</v>
      </c>
      <c r="P41" s="55">
        <f t="shared" si="4"/>
        <v>-1.9183124090790289E-4</v>
      </c>
      <c r="Q41" s="2">
        <f t="shared" si="5"/>
        <v>37210.057699999998</v>
      </c>
      <c r="R41" s="57">
        <f t="shared" si="6"/>
        <v>9.5224660331866463E-7</v>
      </c>
      <c r="S41" s="67">
        <v>1</v>
      </c>
      <c r="T41" s="57">
        <f t="shared" si="7"/>
        <v>9.5224660331866463E-7</v>
      </c>
    </row>
    <row r="42" spans="1:20" x14ac:dyDescent="0.2">
      <c r="A42" s="11" t="s">
        <v>35</v>
      </c>
      <c r="B42" s="12"/>
      <c r="C42" s="20">
        <v>52505.495199999998</v>
      </c>
      <c r="D42" s="13">
        <v>2E-3</v>
      </c>
      <c r="E42">
        <f t="shared" si="1"/>
        <v>2226.9957139897333</v>
      </c>
      <c r="F42">
        <f t="shared" si="2"/>
        <v>2227</v>
      </c>
      <c r="G42">
        <f t="shared" si="3"/>
        <v>-1.3240000043879263E-3</v>
      </c>
      <c r="J42">
        <f t="shared" si="9"/>
        <v>-1.3240000043879263E-3</v>
      </c>
      <c r="P42" s="55">
        <f t="shared" si="4"/>
        <v>1.2053099173723399E-4</v>
      </c>
      <c r="Q42" s="2">
        <f t="shared" si="5"/>
        <v>37486.995199999998</v>
      </c>
      <c r="R42" s="57">
        <f t="shared" si="6"/>
        <v>2.0866697987663478E-6</v>
      </c>
      <c r="S42" s="67">
        <v>1</v>
      </c>
      <c r="T42" s="57">
        <f t="shared" si="7"/>
        <v>2.0866697987663478E-6</v>
      </c>
    </row>
    <row r="43" spans="1:20" x14ac:dyDescent="0.2">
      <c r="A43" s="11" t="s">
        <v>35</v>
      </c>
      <c r="B43" s="12"/>
      <c r="C43" s="20">
        <v>52617.321799999998</v>
      </c>
      <c r="D43" s="13">
        <v>3.8E-3</v>
      </c>
      <c r="E43">
        <f t="shared" si="1"/>
        <v>2588.9971901382814</v>
      </c>
      <c r="F43">
        <f t="shared" si="2"/>
        <v>2589</v>
      </c>
      <c r="G43">
        <f t="shared" si="3"/>
        <v>-8.6800000281073153E-4</v>
      </c>
      <c r="J43">
        <f t="shared" si="9"/>
        <v>-8.6800000281073153E-4</v>
      </c>
      <c r="P43" s="55">
        <f t="shared" si="4"/>
        <v>3.6287315594995271E-4</v>
      </c>
      <c r="Q43" s="2">
        <f t="shared" si="5"/>
        <v>37598.821799999998</v>
      </c>
      <c r="R43" s="57">
        <f t="shared" si="6"/>
        <v>1.5150487329575045E-6</v>
      </c>
      <c r="S43" s="67">
        <v>1</v>
      </c>
      <c r="T43" s="57">
        <f t="shared" si="7"/>
        <v>1.5150487329575045E-6</v>
      </c>
    </row>
    <row r="44" spans="1:20" x14ac:dyDescent="0.2">
      <c r="A44" s="11" t="s">
        <v>35</v>
      </c>
      <c r="B44" s="12"/>
      <c r="C44" s="20">
        <v>52621.336300000003</v>
      </c>
      <c r="D44" s="13">
        <v>2.3E-3</v>
      </c>
      <c r="E44">
        <f t="shared" si="1"/>
        <v>2601.9928005386701</v>
      </c>
      <c r="F44">
        <f t="shared" si="2"/>
        <v>2602</v>
      </c>
      <c r="G44">
        <f t="shared" si="3"/>
        <v>-2.2239999962039292E-3</v>
      </c>
      <c r="J44">
        <f t="shared" si="9"/>
        <v>-2.2239999962039292E-3</v>
      </c>
      <c r="P44" s="55">
        <f t="shared" si="4"/>
        <v>3.7281960966584378E-4</v>
      </c>
      <c r="Q44" s="2">
        <f t="shared" si="5"/>
        <v>37602.836300000003</v>
      </c>
      <c r="R44" s="57">
        <f t="shared" si="6"/>
        <v>6.7434720654296427E-6</v>
      </c>
      <c r="S44" s="67">
        <v>1</v>
      </c>
      <c r="T44" s="57">
        <f t="shared" si="7"/>
        <v>6.7434720654296427E-6</v>
      </c>
    </row>
    <row r="45" spans="1:20" x14ac:dyDescent="0.2">
      <c r="A45" s="24" t="s">
        <v>41</v>
      </c>
      <c r="B45" s="6" t="s">
        <v>37</v>
      </c>
      <c r="C45" s="15">
        <v>52875.419699999999</v>
      </c>
      <c r="D45" s="15">
        <v>2.3999999999999998E-3</v>
      </c>
      <c r="E45">
        <f t="shared" si="1"/>
        <v>3424.5034184492588</v>
      </c>
      <c r="F45">
        <f t="shared" si="2"/>
        <v>3424.5</v>
      </c>
      <c r="G45">
        <f t="shared" si="3"/>
        <v>1.0560000009718351E-3</v>
      </c>
      <c r="J45">
        <f t="shared" si="9"/>
        <v>1.0560000009718351E-3</v>
      </c>
      <c r="P45" s="55">
        <f t="shared" si="4"/>
        <v>1.1774208482901577E-3</v>
      </c>
      <c r="Q45" s="2">
        <f t="shared" si="5"/>
        <v>37856.919699999999</v>
      </c>
      <c r="R45" s="57">
        <f t="shared" si="6"/>
        <v>1.4743022163499412E-8</v>
      </c>
      <c r="S45" s="67">
        <v>1</v>
      </c>
      <c r="T45" s="57">
        <f t="shared" si="7"/>
        <v>1.4743022163499412E-8</v>
      </c>
    </row>
    <row r="46" spans="1:20" x14ac:dyDescent="0.2">
      <c r="A46" s="24" t="s">
        <v>41</v>
      </c>
      <c r="B46" s="25"/>
      <c r="C46" s="15">
        <v>53222.483399999997</v>
      </c>
      <c r="D46" s="15">
        <v>5.0000000000000001E-4</v>
      </c>
      <c r="E46">
        <f t="shared" si="1"/>
        <v>4548.006875744537</v>
      </c>
      <c r="F46">
        <f t="shared" si="2"/>
        <v>4548</v>
      </c>
      <c r="G46">
        <f t="shared" si="3"/>
        <v>2.1239999987301417E-3</v>
      </c>
      <c r="J46">
        <f t="shared" si="9"/>
        <v>2.1239999987301417E-3</v>
      </c>
      <c r="P46" s="55">
        <f t="shared" si="4"/>
        <v>2.8341806396542484E-3</v>
      </c>
      <c r="Q46" s="2">
        <f t="shared" si="5"/>
        <v>38203.983399999997</v>
      </c>
      <c r="R46" s="57">
        <f t="shared" si="6"/>
        <v>5.0435654274337496E-7</v>
      </c>
      <c r="S46" s="67">
        <v>1</v>
      </c>
      <c r="T46" s="57">
        <f t="shared" si="7"/>
        <v>5.0435654274337496E-7</v>
      </c>
    </row>
    <row r="47" spans="1:20" x14ac:dyDescent="0.2">
      <c r="A47" s="24" t="s">
        <v>41</v>
      </c>
      <c r="B47" s="25"/>
      <c r="C47" s="15">
        <v>53226.500399999997</v>
      </c>
      <c r="D47" s="15">
        <v>3.0999999999999999E-3</v>
      </c>
      <c r="E47">
        <f t="shared" si="1"/>
        <v>4561.0105790645757</v>
      </c>
      <c r="F47">
        <f t="shared" si="2"/>
        <v>4561</v>
      </c>
      <c r="G47">
        <f t="shared" si="3"/>
        <v>3.2679999931133352E-3</v>
      </c>
      <c r="J47">
        <f t="shared" si="9"/>
        <v>3.2679999931133352E-3</v>
      </c>
      <c r="P47" s="55">
        <f t="shared" si="4"/>
        <v>2.8571197906555709E-3</v>
      </c>
      <c r="Q47" s="2">
        <f t="shared" si="5"/>
        <v>38208.000399999997</v>
      </c>
      <c r="R47" s="57">
        <f t="shared" si="6"/>
        <v>1.6882254077173336E-7</v>
      </c>
      <c r="S47" s="67">
        <v>1</v>
      </c>
      <c r="T47" s="57">
        <f t="shared" si="7"/>
        <v>1.6882254077173336E-7</v>
      </c>
    </row>
    <row r="48" spans="1:20" x14ac:dyDescent="0.2">
      <c r="A48" s="24" t="s">
        <v>41</v>
      </c>
      <c r="B48" s="6" t="s">
        <v>37</v>
      </c>
      <c r="C48" s="15">
        <v>53242.403899999998</v>
      </c>
      <c r="D48" s="15">
        <v>6.9999999999999999E-4</v>
      </c>
      <c r="E48">
        <f t="shared" si="1"/>
        <v>4612.4928782306824</v>
      </c>
      <c r="F48">
        <f t="shared" si="2"/>
        <v>4612.5</v>
      </c>
      <c r="G48">
        <f t="shared" si="3"/>
        <v>-2.2000000026309863E-3</v>
      </c>
      <c r="J48">
        <f t="shared" si="9"/>
        <v>-2.2000000026309863E-3</v>
      </c>
      <c r="P48" s="55">
        <f t="shared" si="4"/>
        <v>2.9488414611271978E-3</v>
      </c>
      <c r="Q48" s="2">
        <f t="shared" si="5"/>
        <v>38223.903899999998</v>
      </c>
      <c r="R48" s="57">
        <f t="shared" si="6"/>
        <v>2.6510568418915518E-5</v>
      </c>
      <c r="S48" s="67">
        <v>1</v>
      </c>
      <c r="T48" s="57">
        <f t="shared" si="7"/>
        <v>2.6510568418915518E-5</v>
      </c>
    </row>
    <row r="49" spans="1:20" x14ac:dyDescent="0.2">
      <c r="A49" s="24" t="s">
        <v>41</v>
      </c>
      <c r="B49" s="6" t="s">
        <v>37</v>
      </c>
      <c r="C49" s="15">
        <v>53255.383099999999</v>
      </c>
      <c r="D49" s="15">
        <v>6.3E-3</v>
      </c>
      <c r="E49">
        <f t="shared" si="1"/>
        <v>4654.5087274045618</v>
      </c>
      <c r="F49">
        <f t="shared" si="2"/>
        <v>4654.5</v>
      </c>
      <c r="G49">
        <f t="shared" si="3"/>
        <v>2.6959999959217384E-3</v>
      </c>
      <c r="J49">
        <f t="shared" si="9"/>
        <v>2.6959999959217384E-3</v>
      </c>
      <c r="P49" s="55">
        <f t="shared" si="4"/>
        <v>3.0246453342052944E-3</v>
      </c>
      <c r="Q49" s="2">
        <f t="shared" si="5"/>
        <v>38236.883099999999</v>
      </c>
      <c r="R49" s="57">
        <f t="shared" si="6"/>
        <v>1.0800775837551291E-7</v>
      </c>
      <c r="S49" s="67">
        <v>1</v>
      </c>
      <c r="T49" s="57">
        <f t="shared" si="7"/>
        <v>1.0800775837551291E-7</v>
      </c>
    </row>
    <row r="50" spans="1:20" x14ac:dyDescent="0.2">
      <c r="A50" s="24" t="s">
        <v>41</v>
      </c>
      <c r="B50" s="25"/>
      <c r="C50" s="15">
        <v>53255.5357</v>
      </c>
      <c r="D50" s="26"/>
      <c r="E50">
        <f t="shared" si="1"/>
        <v>4655.0027192210055</v>
      </c>
      <c r="F50">
        <f t="shared" si="2"/>
        <v>4655</v>
      </c>
      <c r="G50">
        <f t="shared" si="3"/>
        <v>8.4000000060768798E-4</v>
      </c>
      <c r="J50">
        <f t="shared" si="9"/>
        <v>8.4000000060768798E-4</v>
      </c>
      <c r="P50" s="55">
        <f t="shared" si="4"/>
        <v>3.0255531819045616E-3</v>
      </c>
      <c r="Q50" s="2">
        <f t="shared" si="5"/>
        <v>38237.0357</v>
      </c>
      <c r="R50" s="57">
        <f t="shared" si="6"/>
        <v>4.7766427082768845E-6</v>
      </c>
      <c r="S50" s="67">
        <v>1</v>
      </c>
      <c r="T50" s="57">
        <f t="shared" si="7"/>
        <v>4.7766427082768845E-6</v>
      </c>
    </row>
    <row r="51" spans="1:20" x14ac:dyDescent="0.2">
      <c r="A51" s="24" t="s">
        <v>41</v>
      </c>
      <c r="B51" s="25"/>
      <c r="C51" s="15">
        <v>53256.465300000003</v>
      </c>
      <c r="D51" s="15">
        <v>5.9999999999999995E-4</v>
      </c>
      <c r="E51">
        <f t="shared" si="1"/>
        <v>4658.0119904697858</v>
      </c>
      <c r="F51">
        <f t="shared" si="2"/>
        <v>4658</v>
      </c>
      <c r="G51">
        <f t="shared" si="3"/>
        <v>3.7040000024717301E-3</v>
      </c>
      <c r="J51">
        <f t="shared" si="9"/>
        <v>3.7040000024717301E-3</v>
      </c>
      <c r="P51" s="55">
        <f t="shared" si="4"/>
        <v>3.031002946533458E-3</v>
      </c>
      <c r="Q51" s="2">
        <f t="shared" si="5"/>
        <v>38237.965300000003</v>
      </c>
      <c r="R51" s="57">
        <f t="shared" si="6"/>
        <v>4.529250373015817E-7</v>
      </c>
      <c r="S51" s="67">
        <v>1</v>
      </c>
      <c r="T51" s="57">
        <f t="shared" si="7"/>
        <v>4.529250373015817E-7</v>
      </c>
    </row>
    <row r="52" spans="1:20" x14ac:dyDescent="0.2">
      <c r="A52" s="24" t="s">
        <v>41</v>
      </c>
      <c r="B52" s="6" t="s">
        <v>37</v>
      </c>
      <c r="C52" s="15">
        <v>53258.472300000001</v>
      </c>
      <c r="D52" s="15">
        <v>4.0000000000000002E-4</v>
      </c>
      <c r="E52">
        <f t="shared" si="1"/>
        <v>4664.5089863779986</v>
      </c>
      <c r="F52">
        <f t="shared" si="2"/>
        <v>4664.5</v>
      </c>
      <c r="G52">
        <f t="shared" si="3"/>
        <v>2.7760000011767261E-3</v>
      </c>
      <c r="J52">
        <f t="shared" si="9"/>
        <v>2.7760000011767261E-3</v>
      </c>
      <c r="P52" s="55">
        <f t="shared" si="4"/>
        <v>3.0428265216347369E-3</v>
      </c>
      <c r="Q52" s="2">
        <f t="shared" si="5"/>
        <v>38239.972300000001</v>
      </c>
      <c r="R52" s="57">
        <f t="shared" si="6"/>
        <v>7.119639201972928E-8</v>
      </c>
      <c r="S52" s="67">
        <v>1</v>
      </c>
      <c r="T52" s="57">
        <f t="shared" si="7"/>
        <v>7.119639201972928E-8</v>
      </c>
    </row>
    <row r="53" spans="1:20" x14ac:dyDescent="0.2">
      <c r="A53" s="24" t="s">
        <v>41</v>
      </c>
      <c r="B53" s="6" t="s">
        <v>37</v>
      </c>
      <c r="C53" s="15">
        <v>53259.400800000003</v>
      </c>
      <c r="D53" s="15">
        <v>1.2999999999999999E-3</v>
      </c>
      <c r="E53">
        <f t="shared" ref="E53:E88" si="10">+(C53-C$7)/C$8</f>
        <v>4667.5146967421206</v>
      </c>
      <c r="F53">
        <f t="shared" ref="F53:F86" si="11">ROUND(2*E53,0)/2</f>
        <v>4667.5</v>
      </c>
      <c r="G53">
        <f t="shared" ref="G53:G88" si="12">+C53-(C$7+F53*C$8)</f>
        <v>4.5400000017252751E-3</v>
      </c>
      <c r="J53">
        <f t="shared" si="9"/>
        <v>4.5400000017252751E-3</v>
      </c>
      <c r="P53" s="55">
        <f t="shared" ref="P53:P88" si="13">+D$11+D$12*F53+D$13*F53^2</f>
        <v>3.0482908263300985E-3</v>
      </c>
      <c r="Q53" s="2">
        <f t="shared" ref="Q53:Q88" si="14">+C53-15018.5</f>
        <v>38240.900800000003</v>
      </c>
      <c r="R53" s="57">
        <f t="shared" ref="R53:R88" si="15">+(P53-G53)^2</f>
        <v>2.2251962639581577E-6</v>
      </c>
      <c r="S53" s="67">
        <v>1</v>
      </c>
      <c r="T53" s="57">
        <f t="shared" ref="T53:T88" si="16">+S53*R53</f>
        <v>2.2251962639581577E-6</v>
      </c>
    </row>
    <row r="54" spans="1:20" x14ac:dyDescent="0.2">
      <c r="A54" s="24" t="s">
        <v>41</v>
      </c>
      <c r="B54" s="25"/>
      <c r="C54" s="15">
        <v>53259.552799999998</v>
      </c>
      <c r="D54" s="15">
        <v>2.0000000000000001E-4</v>
      </c>
      <c r="E54">
        <f t="shared" si="10"/>
        <v>4668.0067462578227</v>
      </c>
      <c r="F54">
        <f t="shared" si="11"/>
        <v>4668</v>
      </c>
      <c r="G54">
        <f t="shared" si="12"/>
        <v>2.0839999997406267E-3</v>
      </c>
      <c r="J54">
        <f t="shared" si="9"/>
        <v>2.0839999997406267E-3</v>
      </c>
      <c r="P54" s="55">
        <f t="shared" si="13"/>
        <v>3.0492019901848738E-3</v>
      </c>
      <c r="Q54" s="2">
        <f t="shared" si="14"/>
        <v>38241.052799999998</v>
      </c>
      <c r="R54" s="57">
        <f t="shared" si="15"/>
        <v>9.3161488235753662E-7</v>
      </c>
      <c r="S54" s="67">
        <v>1</v>
      </c>
      <c r="T54" s="57">
        <f t="shared" si="16"/>
        <v>9.3161488235753662E-7</v>
      </c>
    </row>
    <row r="55" spans="1:20" x14ac:dyDescent="0.2">
      <c r="A55" s="31" t="s">
        <v>45</v>
      </c>
      <c r="B55" s="6" t="s">
        <v>37</v>
      </c>
      <c r="C55" s="15">
        <v>53614.504099999998</v>
      </c>
      <c r="D55" s="15">
        <v>1.5E-3</v>
      </c>
      <c r="E55">
        <f t="shared" si="10"/>
        <v>5817.0436888175182</v>
      </c>
      <c r="F55">
        <f t="shared" si="11"/>
        <v>5817</v>
      </c>
      <c r="G55">
        <f t="shared" si="12"/>
        <v>1.349599999957718E-2</v>
      </c>
      <c r="J55">
        <f t="shared" ref="J55:J60" si="17">+G55</f>
        <v>1.349599999957718E-2</v>
      </c>
      <c r="P55" s="55">
        <f t="shared" si="13"/>
        <v>5.4799716785274228E-3</v>
      </c>
      <c r="Q55" s="2">
        <f t="shared" si="14"/>
        <v>38596.004099999998</v>
      </c>
      <c r="R55" s="57">
        <f t="shared" si="15"/>
        <v>6.4256710043871792E-5</v>
      </c>
      <c r="S55" s="67">
        <v>1</v>
      </c>
      <c r="T55" s="57">
        <f t="shared" si="16"/>
        <v>6.4256710043871792E-5</v>
      </c>
    </row>
    <row r="56" spans="1:20" x14ac:dyDescent="0.2">
      <c r="A56" s="31" t="s">
        <v>45</v>
      </c>
      <c r="B56" s="6" t="s">
        <v>37</v>
      </c>
      <c r="C56" s="15">
        <v>53653.421000000002</v>
      </c>
      <c r="D56" s="15">
        <v>3.2000000000000002E-3</v>
      </c>
      <c r="E56">
        <f t="shared" si="10"/>
        <v>5943.0242269643168</v>
      </c>
      <c r="F56">
        <f t="shared" si="11"/>
        <v>5943</v>
      </c>
      <c r="G56">
        <f t="shared" si="12"/>
        <v>7.4840000015683472E-3</v>
      </c>
      <c r="J56">
        <f t="shared" si="17"/>
        <v>7.4840000015683472E-3</v>
      </c>
      <c r="P56" s="55">
        <f t="shared" si="13"/>
        <v>5.7875113082440088E-3</v>
      </c>
      <c r="Q56" s="2">
        <f t="shared" si="14"/>
        <v>38634.921000000002</v>
      </c>
      <c r="R56" s="57">
        <f t="shared" si="15"/>
        <v>2.8780738865773211E-6</v>
      </c>
      <c r="S56" s="67">
        <v>1</v>
      </c>
      <c r="T56" s="57">
        <f t="shared" si="16"/>
        <v>2.8780738865773211E-6</v>
      </c>
    </row>
    <row r="57" spans="1:20" x14ac:dyDescent="0.2">
      <c r="A57" s="44" t="s">
        <v>45</v>
      </c>
      <c r="B57" s="45"/>
      <c r="C57" s="46">
        <v>53932.5262</v>
      </c>
      <c r="D57" s="46">
        <v>1.6000000000000001E-3</v>
      </c>
      <c r="E57">
        <f t="shared" si="10"/>
        <v>6846.5346117988265</v>
      </c>
      <c r="F57">
        <f t="shared" si="11"/>
        <v>6846.5</v>
      </c>
      <c r="G57">
        <f t="shared" si="12"/>
        <v>1.069199999619741E-2</v>
      </c>
      <c r="J57">
        <f t="shared" si="17"/>
        <v>1.069199999619741E-2</v>
      </c>
      <c r="P57" s="55">
        <f t="shared" si="13"/>
        <v>8.2300374722980851E-3</v>
      </c>
      <c r="Q57" s="2">
        <f t="shared" si="14"/>
        <v>38914.0262</v>
      </c>
      <c r="R57" s="57">
        <f t="shared" si="15"/>
        <v>6.0612594690847331E-6</v>
      </c>
      <c r="S57" s="67">
        <v>1</v>
      </c>
      <c r="T57" s="57">
        <f t="shared" si="16"/>
        <v>6.0612594690847331E-6</v>
      </c>
    </row>
    <row r="58" spans="1:20" x14ac:dyDescent="0.2">
      <c r="A58" s="44" t="s">
        <v>51</v>
      </c>
      <c r="B58" s="47" t="s">
        <v>36</v>
      </c>
      <c r="C58" s="46">
        <v>54031.375800000002</v>
      </c>
      <c r="D58" s="46">
        <v>1.6999999999999999E-3</v>
      </c>
      <c r="E58">
        <f t="shared" si="10"/>
        <v>7166.5273605428101</v>
      </c>
      <c r="F58">
        <f t="shared" si="11"/>
        <v>7166.5</v>
      </c>
      <c r="G58">
        <f t="shared" si="12"/>
        <v>8.4520000018528663E-3</v>
      </c>
      <c r="J58">
        <f t="shared" si="17"/>
        <v>8.4520000018528663E-3</v>
      </c>
      <c r="P58" s="55">
        <f t="shared" si="13"/>
        <v>9.1949993829177224E-3</v>
      </c>
      <c r="Q58" s="2">
        <f t="shared" si="14"/>
        <v>39012.875800000002</v>
      </c>
      <c r="R58" s="57">
        <f t="shared" si="15"/>
        <v>5.5204808026275935E-7</v>
      </c>
      <c r="S58" s="67">
        <v>1</v>
      </c>
      <c r="T58" s="57">
        <f t="shared" si="16"/>
        <v>5.5204808026275935E-7</v>
      </c>
    </row>
    <row r="59" spans="1:20" x14ac:dyDescent="0.2">
      <c r="A59" s="69" t="s">
        <v>66</v>
      </c>
      <c r="B59" s="69"/>
      <c r="C59" s="51">
        <v>54718.405400000003</v>
      </c>
      <c r="D59" s="51">
        <v>5.0000000000000001E-4</v>
      </c>
      <c r="E59">
        <f t="shared" si="10"/>
        <v>9390.5575050499883</v>
      </c>
      <c r="F59">
        <f t="shared" si="11"/>
        <v>9390.5</v>
      </c>
      <c r="G59">
        <f t="shared" si="12"/>
        <v>1.7764000003808178E-2</v>
      </c>
      <c r="J59">
        <f t="shared" si="17"/>
        <v>1.7764000003808178E-2</v>
      </c>
      <c r="O59">
        <f t="shared" ref="O59:O88" ca="1" si="18">+C$11+C$12*$F59</f>
        <v>8.0309800306546247E-3</v>
      </c>
      <c r="P59" s="55">
        <f t="shared" si="13"/>
        <v>1.7344740842125568E-2</v>
      </c>
      <c r="Q59" s="2">
        <f t="shared" si="14"/>
        <v>39699.905400000003</v>
      </c>
      <c r="R59" s="57">
        <f t="shared" si="15"/>
        <v>1.7577824465480487E-7</v>
      </c>
      <c r="S59" s="67">
        <v>1</v>
      </c>
      <c r="T59" s="57">
        <f t="shared" si="16"/>
        <v>1.7577824465480487E-7</v>
      </c>
    </row>
    <row r="60" spans="1:20" x14ac:dyDescent="0.2">
      <c r="A60" s="69" t="s">
        <v>66</v>
      </c>
      <c r="B60" s="69"/>
      <c r="C60" s="51">
        <v>54718.559500000003</v>
      </c>
      <c r="D60" s="51">
        <v>5.0000000000000001E-4</v>
      </c>
      <c r="E60">
        <f t="shared" si="10"/>
        <v>9391.0563526182268</v>
      </c>
      <c r="F60">
        <f t="shared" si="11"/>
        <v>9391</v>
      </c>
      <c r="G60">
        <f t="shared" si="12"/>
        <v>1.7407999999704771E-2</v>
      </c>
      <c r="J60">
        <f t="shared" si="17"/>
        <v>1.7407999999704771E-2</v>
      </c>
      <c r="O60">
        <f t="shared" ca="1" si="18"/>
        <v>8.0347421016078308E-3</v>
      </c>
      <c r="P60" s="55">
        <f t="shared" si="13"/>
        <v>1.7346856790785764E-2</v>
      </c>
      <c r="Q60" s="2">
        <f t="shared" si="14"/>
        <v>39700.059500000003</v>
      </c>
      <c r="R60" s="57">
        <f t="shared" si="15"/>
        <v>3.7384919969133017E-9</v>
      </c>
      <c r="S60" s="67">
        <v>1</v>
      </c>
      <c r="T60" s="57">
        <f t="shared" si="16"/>
        <v>3.7384919969133017E-9</v>
      </c>
    </row>
    <row r="61" spans="1:20" x14ac:dyDescent="0.2">
      <c r="A61" s="83" t="s">
        <v>228</v>
      </c>
      <c r="B61" s="84" t="s">
        <v>37</v>
      </c>
      <c r="C61" s="85">
        <v>55058.523699999998</v>
      </c>
      <c r="E61">
        <f t="shared" si="10"/>
        <v>10491.577536644729</v>
      </c>
      <c r="F61">
        <f t="shared" si="11"/>
        <v>10491.5</v>
      </c>
      <c r="G61">
        <f t="shared" si="12"/>
        <v>2.3951999995915685E-2</v>
      </c>
      <c r="K61">
        <f>+G61</f>
        <v>2.3951999995915685E-2</v>
      </c>
      <c r="O61">
        <f t="shared" ca="1" si="18"/>
        <v>1.631506026963106E-2</v>
      </c>
      <c r="P61" s="55">
        <f t="shared" si="13"/>
        <v>2.2313138367325448E-2</v>
      </c>
      <c r="Q61" s="2">
        <f t="shared" si="14"/>
        <v>40040.023699999998</v>
      </c>
      <c r="R61" s="57">
        <f t="shared" si="15"/>
        <v>2.6858674376654447E-6</v>
      </c>
      <c r="S61" s="67">
        <v>1</v>
      </c>
      <c r="T61" s="57">
        <f t="shared" si="16"/>
        <v>2.6858674376654447E-6</v>
      </c>
    </row>
    <row r="62" spans="1:20" x14ac:dyDescent="0.2">
      <c r="A62" s="83" t="s">
        <v>228</v>
      </c>
      <c r="B62" s="84" t="s">
        <v>36</v>
      </c>
      <c r="C62" s="85">
        <v>55062.382100000003</v>
      </c>
      <c r="E62">
        <f t="shared" si="10"/>
        <v>10504.067825141145</v>
      </c>
      <c r="F62">
        <f t="shared" si="11"/>
        <v>10504</v>
      </c>
      <c r="G62">
        <f t="shared" si="12"/>
        <v>2.0951999998942483E-2</v>
      </c>
      <c r="K62">
        <f>+G62</f>
        <v>2.0951999998942483E-2</v>
      </c>
      <c r="O62">
        <f t="shared" ca="1" si="18"/>
        <v>1.6409112043461405E-2</v>
      </c>
      <c r="P62" s="55">
        <f t="shared" si="13"/>
        <v>2.2373096668731794E-2</v>
      </c>
      <c r="Q62" s="2">
        <f t="shared" si="14"/>
        <v>40043.882100000003</v>
      </c>
      <c r="R62" s="57">
        <f t="shared" si="15"/>
        <v>2.0195157448862699E-6</v>
      </c>
      <c r="S62" s="67">
        <v>1</v>
      </c>
      <c r="T62" s="57">
        <f t="shared" si="16"/>
        <v>2.0195157448862699E-6</v>
      </c>
    </row>
    <row r="63" spans="1:20" x14ac:dyDescent="0.2">
      <c r="A63" s="83" t="s">
        <v>228</v>
      </c>
      <c r="B63" s="84" t="s">
        <v>37</v>
      </c>
      <c r="C63" s="85">
        <v>55062.537900000003</v>
      </c>
      <c r="E63">
        <f t="shared" si="10"/>
        <v>10504.572175894758</v>
      </c>
      <c r="F63">
        <f t="shared" si="11"/>
        <v>10504.5</v>
      </c>
      <c r="G63">
        <f t="shared" si="12"/>
        <v>2.2296000002825167E-2</v>
      </c>
      <c r="K63">
        <f>+G63</f>
        <v>2.2296000002825167E-2</v>
      </c>
      <c r="O63">
        <f t="shared" ca="1" si="18"/>
        <v>1.6412874114414625E-2</v>
      </c>
      <c r="P63" s="55">
        <f t="shared" si="13"/>
        <v>2.23754966588658E-2</v>
      </c>
      <c r="Q63" s="2">
        <f t="shared" si="14"/>
        <v>40044.037900000003</v>
      </c>
      <c r="R63" s="57">
        <f t="shared" si="15"/>
        <v>6.319718321642768E-9</v>
      </c>
      <c r="S63" s="67">
        <v>1</v>
      </c>
      <c r="T63" s="57">
        <f t="shared" si="16"/>
        <v>6.319718321642768E-9</v>
      </c>
    </row>
    <row r="64" spans="1:20" x14ac:dyDescent="0.2">
      <c r="A64" s="48" t="s">
        <v>57</v>
      </c>
      <c r="B64" s="49" t="s">
        <v>36</v>
      </c>
      <c r="C64" s="48">
        <v>55309.517399999997</v>
      </c>
      <c r="D64" s="48">
        <v>4.5999999999999999E-3</v>
      </c>
      <c r="E64">
        <f t="shared" si="10"/>
        <v>11304.086276997967</v>
      </c>
      <c r="F64">
        <f t="shared" si="11"/>
        <v>11304</v>
      </c>
      <c r="G64">
        <f t="shared" si="12"/>
        <v>2.6651999993191566E-2</v>
      </c>
      <c r="J64">
        <f>+G64</f>
        <v>2.6651999993191566E-2</v>
      </c>
      <c r="O64">
        <f t="shared" ca="1" si="18"/>
        <v>2.2428425568603236E-2</v>
      </c>
      <c r="P64" s="55">
        <f t="shared" si="13"/>
        <v>2.6376235734202863E-2</v>
      </c>
      <c r="Q64" s="2">
        <f t="shared" si="14"/>
        <v>40291.017399999997</v>
      </c>
      <c r="R64" s="57">
        <f t="shared" si="15"/>
        <v>7.6045926535588608E-8</v>
      </c>
      <c r="S64" s="67">
        <v>1</v>
      </c>
      <c r="T64" s="57">
        <f t="shared" si="16"/>
        <v>7.6045926535588608E-8</v>
      </c>
    </row>
    <row r="65" spans="1:20" x14ac:dyDescent="0.2">
      <c r="A65" s="69" t="s">
        <v>66</v>
      </c>
      <c r="B65" s="69"/>
      <c r="C65" s="51">
        <v>55463.357100000001</v>
      </c>
      <c r="D65" s="51">
        <v>8.0000000000000004E-4</v>
      </c>
      <c r="E65">
        <f t="shared" si="10"/>
        <v>11802.091210441808</v>
      </c>
      <c r="F65">
        <f t="shared" si="11"/>
        <v>11802</v>
      </c>
      <c r="G65">
        <f t="shared" si="12"/>
        <v>2.8175999999803025E-2</v>
      </c>
      <c r="J65">
        <f>+G65</f>
        <v>2.8175999999803025E-2</v>
      </c>
      <c r="O65">
        <f t="shared" ca="1" si="18"/>
        <v>2.6175448238004023E-2</v>
      </c>
      <c r="P65" s="55">
        <f t="shared" si="13"/>
        <v>2.9033080278291871E-2</v>
      </c>
      <c r="Q65" s="2">
        <f t="shared" si="14"/>
        <v>40444.857100000001</v>
      </c>
      <c r="R65" s="57">
        <f t="shared" si="15"/>
        <v>7.3458660377451817E-7</v>
      </c>
      <c r="S65" s="67">
        <v>1</v>
      </c>
      <c r="T65" s="57">
        <f t="shared" si="16"/>
        <v>7.3458660377451817E-7</v>
      </c>
    </row>
    <row r="66" spans="1:20" x14ac:dyDescent="0.2">
      <c r="A66" s="69" t="s">
        <v>66</v>
      </c>
      <c r="B66" s="69"/>
      <c r="C66" s="51">
        <v>55463.513099999996</v>
      </c>
      <c r="D66" s="51">
        <v>3.5000000000000001E-3</v>
      </c>
      <c r="E66">
        <f t="shared" si="10"/>
        <v>11802.59620862898</v>
      </c>
      <c r="F66">
        <f t="shared" si="11"/>
        <v>11802.5</v>
      </c>
      <c r="G66">
        <f t="shared" si="12"/>
        <v>2.9719999998633284E-2</v>
      </c>
      <c r="J66">
        <f>+G66</f>
        <v>2.9719999998633284E-2</v>
      </c>
      <c r="O66">
        <f t="shared" ca="1" si="18"/>
        <v>2.6179210308957243E-2</v>
      </c>
      <c r="P66" s="55">
        <f t="shared" si="13"/>
        <v>2.9035811373799039E-2</v>
      </c>
      <c r="Q66" s="2">
        <f t="shared" si="14"/>
        <v>40445.013099999996</v>
      </c>
      <c r="R66" s="57">
        <f t="shared" si="15"/>
        <v>4.6811407435257607E-7</v>
      </c>
      <c r="S66" s="67">
        <v>1</v>
      </c>
      <c r="T66" s="57">
        <f t="shared" si="16"/>
        <v>4.6811407435257607E-7</v>
      </c>
    </row>
    <row r="67" spans="1:20" x14ac:dyDescent="0.2">
      <c r="A67" s="44" t="s">
        <v>56</v>
      </c>
      <c r="B67" s="50" t="s">
        <v>36</v>
      </c>
      <c r="C67" s="46">
        <v>55477.721100000002</v>
      </c>
      <c r="D67" s="46">
        <v>1E-3</v>
      </c>
      <c r="E67">
        <f t="shared" si="10"/>
        <v>11848.589889677323</v>
      </c>
      <c r="F67">
        <f t="shared" si="11"/>
        <v>11848.5</v>
      </c>
      <c r="G67">
        <f t="shared" si="12"/>
        <v>2.7767999999923632E-2</v>
      </c>
      <c r="K67">
        <f t="shared" ref="K67:K73" si="19">+G67</f>
        <v>2.7767999999923632E-2</v>
      </c>
      <c r="O67">
        <f t="shared" ca="1" si="18"/>
        <v>2.6525320836652891E-2</v>
      </c>
      <c r="P67" s="55">
        <f t="shared" si="13"/>
        <v>2.9287617795584191E-2</v>
      </c>
      <c r="Q67" s="2">
        <f t="shared" si="14"/>
        <v>40459.221100000002</v>
      </c>
      <c r="R67" s="57">
        <f t="shared" si="15"/>
        <v>2.3092382448882569E-6</v>
      </c>
      <c r="S67" s="67">
        <v>1</v>
      </c>
      <c r="T67" s="57">
        <f t="shared" si="16"/>
        <v>2.3092382448882569E-6</v>
      </c>
    </row>
    <row r="68" spans="1:20" x14ac:dyDescent="0.2">
      <c r="A68" s="83" t="s">
        <v>260</v>
      </c>
      <c r="B68" s="84" t="s">
        <v>37</v>
      </c>
      <c r="C68" s="85">
        <v>55806.406999999999</v>
      </c>
      <c r="E68">
        <f t="shared" si="10"/>
        <v>12912.601323354218</v>
      </c>
      <c r="F68">
        <f t="shared" si="11"/>
        <v>12912.5</v>
      </c>
      <c r="G68">
        <f t="shared" si="12"/>
        <v>3.1299999995098915E-2</v>
      </c>
      <c r="K68">
        <f t="shared" si="19"/>
        <v>3.1299999995098915E-2</v>
      </c>
      <c r="O68">
        <f t="shared" ca="1" si="18"/>
        <v>3.4531007825091525E-2</v>
      </c>
      <c r="P68" s="55">
        <f t="shared" si="13"/>
        <v>3.5413279989658542E-2</v>
      </c>
      <c r="Q68" s="2">
        <f t="shared" si="14"/>
        <v>40787.906999999999</v>
      </c>
      <c r="R68" s="57">
        <f t="shared" si="15"/>
        <v>1.6919072313644441E-5</v>
      </c>
      <c r="S68" s="67">
        <v>0.1</v>
      </c>
      <c r="T68" s="57">
        <f t="shared" si="16"/>
        <v>1.6919072313644441E-6</v>
      </c>
    </row>
    <row r="69" spans="1:20" x14ac:dyDescent="0.2">
      <c r="A69" s="83" t="s">
        <v>260</v>
      </c>
      <c r="B69" s="84" t="s">
        <v>36</v>
      </c>
      <c r="C69" s="85">
        <v>55806.5648</v>
      </c>
      <c r="E69">
        <f t="shared" si="10"/>
        <v>12913.112148443566</v>
      </c>
      <c r="F69">
        <f t="shared" si="11"/>
        <v>12913</v>
      </c>
      <c r="G69">
        <f t="shared" si="12"/>
        <v>3.4643999999389052E-2</v>
      </c>
      <c r="K69">
        <f t="shared" si="19"/>
        <v>3.4643999999389052E-2</v>
      </c>
      <c r="O69">
        <f t="shared" ca="1" si="18"/>
        <v>3.4534769896044745E-2</v>
      </c>
      <c r="P69" s="55">
        <f t="shared" si="13"/>
        <v>3.541629436137287E-2</v>
      </c>
      <c r="Q69" s="2">
        <f t="shared" si="14"/>
        <v>40788.0648</v>
      </c>
      <c r="R69" s="57">
        <f t="shared" si="15"/>
        <v>5.96438581551992E-7</v>
      </c>
      <c r="S69" s="67">
        <v>1</v>
      </c>
      <c r="T69" s="57">
        <f t="shared" si="16"/>
        <v>5.96438581551992E-7</v>
      </c>
    </row>
    <row r="70" spans="1:20" x14ac:dyDescent="0.2">
      <c r="A70" s="83" t="s">
        <v>260</v>
      </c>
      <c r="B70" s="84" t="s">
        <v>36</v>
      </c>
      <c r="C70" s="85">
        <v>55808.418599999997</v>
      </c>
      <c r="E70">
        <f t="shared" si="10"/>
        <v>12919.113210234616</v>
      </c>
      <c r="F70">
        <f t="shared" si="11"/>
        <v>12919</v>
      </c>
      <c r="G70">
        <f t="shared" si="12"/>
        <v>3.4971999994013458E-2</v>
      </c>
      <c r="K70">
        <f t="shared" si="19"/>
        <v>3.4971999994013458E-2</v>
      </c>
      <c r="O70">
        <f t="shared" ca="1" si="18"/>
        <v>3.4579914747483301E-2</v>
      </c>
      <c r="P70" s="55">
        <f t="shared" si="13"/>
        <v>3.5452476770411329E-2</v>
      </c>
      <c r="Q70" s="2">
        <f t="shared" si="14"/>
        <v>40789.918599999997</v>
      </c>
      <c r="R70" s="57">
        <f t="shared" si="15"/>
        <v>2.3085793265768888E-7</v>
      </c>
      <c r="S70" s="67">
        <v>1</v>
      </c>
      <c r="T70" s="57">
        <f t="shared" si="16"/>
        <v>2.3085793265768888E-7</v>
      </c>
    </row>
    <row r="71" spans="1:20" x14ac:dyDescent="0.2">
      <c r="A71" s="83" t="s">
        <v>260</v>
      </c>
      <c r="B71" s="84" t="s">
        <v>36</v>
      </c>
      <c r="C71" s="85">
        <v>55839.312100000003</v>
      </c>
      <c r="E71">
        <f t="shared" si="10"/>
        <v>13019.120655720728</v>
      </c>
      <c r="F71">
        <f t="shared" si="11"/>
        <v>13019</v>
      </c>
      <c r="G71">
        <f t="shared" si="12"/>
        <v>3.727200000139419E-2</v>
      </c>
      <c r="K71">
        <f t="shared" si="19"/>
        <v>3.727200000139419E-2</v>
      </c>
      <c r="O71">
        <f t="shared" ca="1" si="18"/>
        <v>3.5332328938126031E-2</v>
      </c>
      <c r="P71" s="55">
        <f t="shared" si="13"/>
        <v>3.6058220863236776E-2</v>
      </c>
      <c r="Q71" s="2">
        <f t="shared" si="14"/>
        <v>40820.812100000003</v>
      </c>
      <c r="R71" s="57">
        <f t="shared" si="15"/>
        <v>1.4732597962261553E-6</v>
      </c>
      <c r="S71" s="67">
        <v>1</v>
      </c>
      <c r="T71" s="57">
        <f t="shared" si="16"/>
        <v>1.4732597962261553E-6</v>
      </c>
    </row>
    <row r="72" spans="1:20" x14ac:dyDescent="0.2">
      <c r="A72" s="83" t="s">
        <v>260</v>
      </c>
      <c r="B72" s="84" t="s">
        <v>37</v>
      </c>
      <c r="C72" s="85">
        <v>55839.464200000002</v>
      </c>
      <c r="E72">
        <f t="shared" si="10"/>
        <v>13019.613028953232</v>
      </c>
      <c r="F72">
        <f t="shared" si="11"/>
        <v>13019.5</v>
      </c>
      <c r="G72">
        <f t="shared" si="12"/>
        <v>3.4916000004159287E-2</v>
      </c>
      <c r="K72">
        <f t="shared" si="19"/>
        <v>3.4916000004159287E-2</v>
      </c>
      <c r="O72">
        <f t="shared" ca="1" si="18"/>
        <v>3.5336091009079251E-2</v>
      </c>
      <c r="P72" s="55">
        <f t="shared" si="13"/>
        <v>3.6061262401917385E-2</v>
      </c>
      <c r="Q72" s="2">
        <f t="shared" si="14"/>
        <v>40820.964200000002</v>
      </c>
      <c r="R72" s="57">
        <f t="shared" si="15"/>
        <v>1.3116259597186286E-6</v>
      </c>
      <c r="S72" s="67">
        <v>1</v>
      </c>
      <c r="T72" s="57">
        <f t="shared" si="16"/>
        <v>1.3116259597186286E-6</v>
      </c>
    </row>
    <row r="73" spans="1:20" x14ac:dyDescent="0.2">
      <c r="A73" s="83" t="s">
        <v>260</v>
      </c>
      <c r="B73" s="84" t="s">
        <v>36</v>
      </c>
      <c r="C73" s="85">
        <v>55873.292800000003</v>
      </c>
      <c r="E73">
        <f t="shared" si="10"/>
        <v>13129.121885844517</v>
      </c>
      <c r="F73">
        <f t="shared" si="11"/>
        <v>13129</v>
      </c>
      <c r="G73">
        <f t="shared" si="12"/>
        <v>3.765199999907054E-2</v>
      </c>
      <c r="K73">
        <f t="shared" si="19"/>
        <v>3.765199999907054E-2</v>
      </c>
      <c r="O73">
        <f t="shared" ca="1" si="18"/>
        <v>3.6159984547833035E-2</v>
      </c>
      <c r="P73" s="55">
        <f t="shared" si="13"/>
        <v>3.6730431918595902E-2</v>
      </c>
      <c r="Q73" s="2">
        <f t="shared" si="14"/>
        <v>40854.792800000003</v>
      </c>
      <c r="R73" s="57">
        <f t="shared" si="15"/>
        <v>8.4928772694970966E-7</v>
      </c>
      <c r="S73" s="67">
        <v>1</v>
      </c>
      <c r="T73" s="57">
        <f t="shared" si="16"/>
        <v>8.4928772694970966E-7</v>
      </c>
    </row>
    <row r="74" spans="1:20" x14ac:dyDescent="0.2">
      <c r="A74" s="44" t="s">
        <v>58</v>
      </c>
      <c r="B74" s="50" t="s">
        <v>36</v>
      </c>
      <c r="C74" s="46">
        <v>56187.461900000002</v>
      </c>
      <c r="D74" s="46">
        <v>1.2999999999999999E-3</v>
      </c>
      <c r="E74">
        <f t="shared" si="10"/>
        <v>14146.140001035896</v>
      </c>
      <c r="F74">
        <f t="shared" si="11"/>
        <v>14146</v>
      </c>
      <c r="G74">
        <f t="shared" si="12"/>
        <v>4.324800000176765E-2</v>
      </c>
      <c r="J74">
        <f>+G74</f>
        <v>4.324800000176765E-2</v>
      </c>
      <c r="O74">
        <f t="shared" ca="1" si="18"/>
        <v>4.3812036866669582E-2</v>
      </c>
      <c r="P74" s="55">
        <f t="shared" si="13"/>
        <v>4.3237701097592431E-2</v>
      </c>
      <c r="Q74" s="2">
        <f t="shared" si="14"/>
        <v>41168.961900000002</v>
      </c>
      <c r="R74" s="57">
        <f t="shared" si="15"/>
        <v>1.0606742721035714E-10</v>
      </c>
      <c r="S74" s="67">
        <v>1</v>
      </c>
      <c r="T74" s="57">
        <f t="shared" si="16"/>
        <v>1.0606742721035714E-10</v>
      </c>
    </row>
    <row r="75" spans="1:20" x14ac:dyDescent="0.2">
      <c r="A75" s="44" t="s">
        <v>58</v>
      </c>
      <c r="B75" s="50" t="s">
        <v>37</v>
      </c>
      <c r="C75" s="46">
        <v>56187.613499999999</v>
      </c>
      <c r="D75" s="46">
        <v>4.1999999999999997E-3</v>
      </c>
      <c r="E75">
        <f t="shared" si="10"/>
        <v>14146.63075568446</v>
      </c>
      <c r="F75">
        <f t="shared" si="11"/>
        <v>14146.5</v>
      </c>
      <c r="G75">
        <f t="shared" si="12"/>
        <v>4.0391999995335937E-2</v>
      </c>
      <c r="J75">
        <f>+G75</f>
        <v>4.0391999995335937E-2</v>
      </c>
      <c r="O75">
        <f t="shared" ca="1" si="18"/>
        <v>4.3815798937622802E-2</v>
      </c>
      <c r="P75" s="55">
        <f t="shared" si="13"/>
        <v>4.3241030121446811E-2</v>
      </c>
      <c r="Q75" s="2">
        <f t="shared" si="14"/>
        <v>41169.113499999999</v>
      </c>
      <c r="R75" s="57">
        <f t="shared" si="15"/>
        <v>8.1169726594873442E-6</v>
      </c>
      <c r="S75" s="67">
        <v>1</v>
      </c>
      <c r="T75" s="57">
        <f t="shared" si="16"/>
        <v>8.1169726594873442E-6</v>
      </c>
    </row>
    <row r="76" spans="1:20" x14ac:dyDescent="0.2">
      <c r="A76" s="91" t="s">
        <v>326</v>
      </c>
      <c r="B76" s="92" t="s">
        <v>36</v>
      </c>
      <c r="C76" s="93">
        <v>56192.404399999999</v>
      </c>
      <c r="D76" s="93">
        <v>2.0000000000000001E-4</v>
      </c>
      <c r="E76">
        <f t="shared" si="10"/>
        <v>14162.139703216444</v>
      </c>
      <c r="F76">
        <f t="shared" si="11"/>
        <v>14162</v>
      </c>
      <c r="G76">
        <f t="shared" si="12"/>
        <v>4.3155999999726191E-2</v>
      </c>
      <c r="K76">
        <f>+G76</f>
        <v>4.3155999999726191E-2</v>
      </c>
      <c r="O76">
        <f t="shared" ca="1" si="18"/>
        <v>4.3932423137172424E-2</v>
      </c>
      <c r="P76" s="55">
        <f t="shared" si="13"/>
        <v>4.3344293122976239E-2</v>
      </c>
      <c r="Q76" s="2">
        <f t="shared" si="14"/>
        <v>41173.904399999999</v>
      </c>
      <c r="R76" s="57">
        <f t="shared" si="15"/>
        <v>3.5454300263257824E-8</v>
      </c>
      <c r="S76" s="67">
        <v>1</v>
      </c>
      <c r="T76" s="57">
        <f t="shared" si="16"/>
        <v>3.5454300263257824E-8</v>
      </c>
    </row>
    <row r="77" spans="1:20" x14ac:dyDescent="0.2">
      <c r="A77" s="45" t="s">
        <v>59</v>
      </c>
      <c r="B77" s="47" t="s">
        <v>36</v>
      </c>
      <c r="C77" s="46">
        <v>56590.2932</v>
      </c>
      <c r="D77" s="68">
        <v>1.6999999999999999E-3</v>
      </c>
      <c r="E77">
        <f t="shared" si="10"/>
        <v>15450.172541047285</v>
      </c>
      <c r="F77">
        <f t="shared" si="11"/>
        <v>15450</v>
      </c>
      <c r="G77">
        <f t="shared" si="12"/>
        <v>5.3299999999580905E-2</v>
      </c>
      <c r="J77">
        <f t="shared" ref="J77:J85" si="20">+G77</f>
        <v>5.3299999999580905E-2</v>
      </c>
      <c r="O77">
        <f t="shared" ca="1" si="18"/>
        <v>5.362351791265077E-2</v>
      </c>
      <c r="P77" s="55">
        <f t="shared" si="13"/>
        <v>5.2353386213907775E-2</v>
      </c>
      <c r="Q77" s="2">
        <f t="shared" si="14"/>
        <v>41571.7932</v>
      </c>
      <c r="R77" s="57">
        <f t="shared" si="15"/>
        <v>8.9607765922641386E-7</v>
      </c>
      <c r="S77" s="67">
        <v>1</v>
      </c>
      <c r="T77" s="57">
        <f t="shared" si="16"/>
        <v>8.9607765922641386E-7</v>
      </c>
    </row>
    <row r="78" spans="1:20" x14ac:dyDescent="0.2">
      <c r="A78" s="45" t="s">
        <v>59</v>
      </c>
      <c r="B78" s="47" t="s">
        <v>36</v>
      </c>
      <c r="C78" s="46">
        <v>56590.446000000004</v>
      </c>
      <c r="D78" s="68">
        <v>1.6999999999999999E-3</v>
      </c>
      <c r="E78">
        <f t="shared" si="10"/>
        <v>15450.667180297309</v>
      </c>
      <c r="F78">
        <f t="shared" si="11"/>
        <v>15450.5</v>
      </c>
      <c r="G78">
        <f t="shared" si="12"/>
        <v>5.1643999999214429E-2</v>
      </c>
      <c r="J78">
        <f t="shared" si="20"/>
        <v>5.1643999999214429E-2</v>
      </c>
      <c r="O78">
        <f t="shared" ca="1" si="18"/>
        <v>5.3627279983603976E-2</v>
      </c>
      <c r="P78" s="55">
        <f t="shared" si="13"/>
        <v>5.2357047873668627E-2</v>
      </c>
      <c r="Q78" s="2">
        <f t="shared" si="14"/>
        <v>41571.946000000004</v>
      </c>
      <c r="R78" s="57">
        <f t="shared" si="15"/>
        <v>5.0843727126364956E-7</v>
      </c>
      <c r="S78" s="67">
        <v>1</v>
      </c>
      <c r="T78" s="57">
        <f t="shared" si="16"/>
        <v>5.0843727126364956E-7</v>
      </c>
    </row>
    <row r="79" spans="1:20" x14ac:dyDescent="0.2">
      <c r="A79" s="45" t="s">
        <v>59</v>
      </c>
      <c r="B79" s="47" t="s">
        <v>36</v>
      </c>
      <c r="C79" s="46">
        <v>56592.3027</v>
      </c>
      <c r="D79" s="68">
        <v>2.5000000000000001E-3</v>
      </c>
      <c r="E79">
        <f t="shared" si="10"/>
        <v>15456.677629875172</v>
      </c>
      <c r="F79">
        <f t="shared" si="11"/>
        <v>15456.5</v>
      </c>
      <c r="G79">
        <f t="shared" si="12"/>
        <v>5.4872000000614207E-2</v>
      </c>
      <c r="J79">
        <f t="shared" si="20"/>
        <v>5.4872000000614207E-2</v>
      </c>
      <c r="O79">
        <f t="shared" ca="1" si="18"/>
        <v>5.3672424835042545E-2</v>
      </c>
      <c r="P79" s="55">
        <f t="shared" si="13"/>
        <v>5.2400997739265404E-2</v>
      </c>
      <c r="Q79" s="2">
        <f t="shared" si="14"/>
        <v>41573.8027</v>
      </c>
      <c r="R79" s="57">
        <f t="shared" si="15"/>
        <v>6.1058521755909013E-6</v>
      </c>
      <c r="S79" s="67">
        <v>1</v>
      </c>
      <c r="T79" s="57">
        <f t="shared" si="16"/>
        <v>6.1058521755909013E-6</v>
      </c>
    </row>
    <row r="80" spans="1:20" x14ac:dyDescent="0.2">
      <c r="A80" s="45" t="s">
        <v>59</v>
      </c>
      <c r="B80" s="47" t="s">
        <v>36</v>
      </c>
      <c r="C80" s="46">
        <v>56592.455900000001</v>
      </c>
      <c r="D80" s="68">
        <v>1.5E-3</v>
      </c>
      <c r="E80">
        <f t="shared" si="10"/>
        <v>15457.173563992334</v>
      </c>
      <c r="F80">
        <f t="shared" si="11"/>
        <v>15457</v>
      </c>
      <c r="G80">
        <f t="shared" si="12"/>
        <v>5.3615999997418839E-2</v>
      </c>
      <c r="J80">
        <f t="shared" si="20"/>
        <v>5.3615999997418839E-2</v>
      </c>
      <c r="O80">
        <f t="shared" ca="1" si="18"/>
        <v>5.3676186905995765E-2</v>
      </c>
      <c r="P80" s="55">
        <f t="shared" si="13"/>
        <v>5.2404661057104007E-2</v>
      </c>
      <c r="Q80" s="2">
        <f t="shared" si="14"/>
        <v>41573.955900000001</v>
      </c>
      <c r="R80" s="57">
        <f t="shared" si="15"/>
        <v>1.4673420283230608E-6</v>
      </c>
      <c r="S80" s="67">
        <v>1</v>
      </c>
      <c r="T80" s="57">
        <f t="shared" si="16"/>
        <v>1.4673420283230608E-6</v>
      </c>
    </row>
    <row r="81" spans="1:20" x14ac:dyDescent="0.2">
      <c r="A81" s="45" t="s">
        <v>59</v>
      </c>
      <c r="B81" s="47" t="s">
        <v>36</v>
      </c>
      <c r="C81" s="46">
        <v>56600.332699999999</v>
      </c>
      <c r="D81" s="68">
        <v>1.2999999999999999E-3</v>
      </c>
      <c r="E81">
        <f t="shared" si="10"/>
        <v>15482.672087843779</v>
      </c>
      <c r="F81">
        <f t="shared" si="11"/>
        <v>15482.5</v>
      </c>
      <c r="G81">
        <f t="shared" si="12"/>
        <v>5.3159999995841645E-2</v>
      </c>
      <c r="J81">
        <f t="shared" si="20"/>
        <v>5.3159999995841645E-2</v>
      </c>
      <c r="O81">
        <f t="shared" ca="1" si="18"/>
        <v>5.3868052524609661E-2</v>
      </c>
      <c r="P81" s="55">
        <f t="shared" si="13"/>
        <v>5.2591659390804027E-2</v>
      </c>
      <c r="Q81" s="2">
        <f t="shared" si="14"/>
        <v>41581.832699999999</v>
      </c>
      <c r="R81" s="57">
        <f t="shared" si="15"/>
        <v>3.230110433345254E-7</v>
      </c>
      <c r="S81" s="67">
        <v>1</v>
      </c>
      <c r="T81" s="57">
        <f t="shared" si="16"/>
        <v>3.230110433345254E-7</v>
      </c>
    </row>
    <row r="82" spans="1:20" x14ac:dyDescent="0.2">
      <c r="A82" s="45" t="s">
        <v>59</v>
      </c>
      <c r="B82" s="47" t="s">
        <v>36</v>
      </c>
      <c r="C82" s="46">
        <v>56600.487000000001</v>
      </c>
      <c r="D82" s="68">
        <v>1.6999999999999999E-3</v>
      </c>
      <c r="E82">
        <f t="shared" si="10"/>
        <v>15483.1715828456</v>
      </c>
      <c r="F82">
        <f t="shared" si="11"/>
        <v>15483</v>
      </c>
      <c r="G82">
        <f t="shared" si="12"/>
        <v>5.3004000001237728E-2</v>
      </c>
      <c r="J82">
        <f t="shared" si="20"/>
        <v>5.3004000001237728E-2</v>
      </c>
      <c r="O82">
        <f t="shared" ca="1" si="18"/>
        <v>5.3871814595562867E-2</v>
      </c>
      <c r="P82" s="55">
        <f t="shared" si="13"/>
        <v>5.259532934095365E-2</v>
      </c>
      <c r="Q82" s="2">
        <f t="shared" si="14"/>
        <v>41581.987000000001</v>
      </c>
      <c r="R82" s="57">
        <f t="shared" si="15"/>
        <v>1.6701170857702371E-7</v>
      </c>
      <c r="S82" s="67">
        <v>1</v>
      </c>
      <c r="T82" s="57">
        <f t="shared" si="16"/>
        <v>1.6701170857702371E-7</v>
      </c>
    </row>
    <row r="83" spans="1:20" x14ac:dyDescent="0.2">
      <c r="A83" s="86" t="s">
        <v>67</v>
      </c>
      <c r="B83" s="87"/>
      <c r="C83" s="86">
        <v>56934.273500000003</v>
      </c>
      <c r="D83" s="86">
        <v>8.9999999999999998E-4</v>
      </c>
      <c r="E83">
        <f t="shared" si="10"/>
        <v>16563.694514942774</v>
      </c>
      <c r="F83">
        <f t="shared" si="11"/>
        <v>16563.5</v>
      </c>
      <c r="G83">
        <f t="shared" si="12"/>
        <v>6.0088000005634967E-2</v>
      </c>
      <c r="J83">
        <f t="shared" si="20"/>
        <v>6.0088000005634967E-2</v>
      </c>
      <c r="O83">
        <f t="shared" ca="1" si="18"/>
        <v>6.200164992545755E-2</v>
      </c>
      <c r="P83" s="55">
        <f t="shared" si="13"/>
        <v>6.0824040661686299E-2</v>
      </c>
      <c r="Q83" s="2">
        <f t="shared" si="14"/>
        <v>41915.773500000003</v>
      </c>
      <c r="R83" s="57">
        <f t="shared" si="15"/>
        <v>5.4175584736047464E-7</v>
      </c>
      <c r="S83" s="67">
        <v>1</v>
      </c>
      <c r="T83" s="57">
        <f t="shared" si="16"/>
        <v>5.4175584736047464E-7</v>
      </c>
    </row>
    <row r="84" spans="1:20" x14ac:dyDescent="0.2">
      <c r="A84" s="86" t="s">
        <v>67</v>
      </c>
      <c r="B84" s="87"/>
      <c r="C84" s="86">
        <v>56934.428699999997</v>
      </c>
      <c r="D84" s="86">
        <v>3.0000000000000001E-3</v>
      </c>
      <c r="E84">
        <f t="shared" si="10"/>
        <v>16564.196923395644</v>
      </c>
      <c r="F84">
        <f t="shared" si="11"/>
        <v>16564</v>
      </c>
      <c r="G84">
        <f t="shared" si="12"/>
        <v>6.0831999995571095E-2</v>
      </c>
      <c r="J84">
        <f t="shared" si="20"/>
        <v>6.0831999995571095E-2</v>
      </c>
      <c r="O84">
        <f t="shared" ca="1" si="18"/>
        <v>6.200541199641077E-2</v>
      </c>
      <c r="P84" s="55">
        <f t="shared" si="13"/>
        <v>6.0827986362920958E-2</v>
      </c>
      <c r="Q84" s="2">
        <f t="shared" si="14"/>
        <v>41915.928699999997</v>
      </c>
      <c r="R84" s="57">
        <f t="shared" si="15"/>
        <v>1.6109247050251909E-11</v>
      </c>
      <c r="S84" s="67">
        <v>1</v>
      </c>
      <c r="T84" s="57">
        <f t="shared" si="16"/>
        <v>1.6109247050251909E-11</v>
      </c>
    </row>
    <row r="85" spans="1:20" x14ac:dyDescent="0.2">
      <c r="A85" s="86" t="s">
        <v>67</v>
      </c>
      <c r="B85" s="87"/>
      <c r="C85" s="86">
        <v>56934.583299999998</v>
      </c>
      <c r="D85" s="86">
        <v>2.2000000000000001E-3</v>
      </c>
      <c r="E85">
        <f t="shared" si="10"/>
        <v>16564.697389547822</v>
      </c>
      <c r="F85">
        <f t="shared" si="11"/>
        <v>16564.5</v>
      </c>
      <c r="G85">
        <f t="shared" si="12"/>
        <v>6.0975999993388541E-2</v>
      </c>
      <c r="J85">
        <f t="shared" si="20"/>
        <v>6.0975999993388541E-2</v>
      </c>
      <c r="O85">
        <f t="shared" ca="1" si="18"/>
        <v>6.2009174067363976E-2</v>
      </c>
      <c r="P85" s="55">
        <f t="shared" si="13"/>
        <v>6.0831932191700071E-2</v>
      </c>
      <c r="Q85" s="2">
        <f t="shared" si="14"/>
        <v>41916.083299999998</v>
      </c>
      <c r="R85" s="57">
        <f t="shared" si="15"/>
        <v>2.07555314833484E-8</v>
      </c>
      <c r="S85" s="67">
        <v>1</v>
      </c>
      <c r="T85" s="57">
        <f t="shared" si="16"/>
        <v>2.07555314833484E-8</v>
      </c>
    </row>
    <row r="86" spans="1:20" x14ac:dyDescent="0.2">
      <c r="A86" s="88" t="s">
        <v>325</v>
      </c>
      <c r="B86" s="89" t="s">
        <v>36</v>
      </c>
      <c r="C86" s="90">
        <v>57345.445800000001</v>
      </c>
      <c r="D86" s="90">
        <v>1.6999999999999999E-3</v>
      </c>
      <c r="E86">
        <f t="shared" si="10"/>
        <v>17894.72827212928</v>
      </c>
      <c r="F86">
        <f t="shared" si="11"/>
        <v>17894.5</v>
      </c>
      <c r="G86">
        <f t="shared" si="12"/>
        <v>7.0515999999770429E-2</v>
      </c>
      <c r="K86">
        <f>+G86</f>
        <v>7.0515999999770429E-2</v>
      </c>
      <c r="O86">
        <f t="shared" ca="1" si="18"/>
        <v>7.2016282802912279E-2</v>
      </c>
      <c r="P86" s="55">
        <f t="shared" si="13"/>
        <v>7.1779233107508819E-2</v>
      </c>
      <c r="Q86" s="2">
        <f t="shared" si="14"/>
        <v>42326.945800000001</v>
      </c>
      <c r="R86" s="57">
        <f t="shared" si="15"/>
        <v>1.5957578844863912E-6</v>
      </c>
      <c r="S86" s="67">
        <v>1</v>
      </c>
      <c r="T86" s="57">
        <f t="shared" si="16"/>
        <v>1.5957578844863912E-6</v>
      </c>
    </row>
    <row r="87" spans="1:20" x14ac:dyDescent="0.2">
      <c r="A87" s="94" t="s">
        <v>0</v>
      </c>
      <c r="B87" s="95" t="s">
        <v>36</v>
      </c>
      <c r="C87" s="96">
        <v>57995.415000000001</v>
      </c>
      <c r="D87" s="96">
        <v>1E-3</v>
      </c>
      <c r="E87">
        <f t="shared" si="10"/>
        <v>19998.787680633966</v>
      </c>
      <c r="F87" s="97">
        <f>ROUND(2*E87,0)/2-0.5</f>
        <v>19998.5</v>
      </c>
      <c r="G87">
        <f t="shared" si="12"/>
        <v>8.8867999998910818E-2</v>
      </c>
      <c r="K87">
        <f>+G87</f>
        <v>8.8867999998910818E-2</v>
      </c>
      <c r="O87">
        <f t="shared" ca="1" si="18"/>
        <v>8.7847077374035298E-2</v>
      </c>
      <c r="P87" s="55">
        <f t="shared" si="13"/>
        <v>9.0940421181721465E-2</v>
      </c>
      <c r="Q87" s="2">
        <f t="shared" si="14"/>
        <v>42976.915000000001</v>
      </c>
      <c r="R87" s="57">
        <f t="shared" si="15"/>
        <v>4.2949295589622786E-6</v>
      </c>
      <c r="S87" s="67">
        <v>1</v>
      </c>
      <c r="T87" s="57">
        <f t="shared" si="16"/>
        <v>4.2949295589622786E-6</v>
      </c>
    </row>
    <row r="88" spans="1:20" x14ac:dyDescent="0.2">
      <c r="A88" s="94" t="s">
        <v>0</v>
      </c>
      <c r="B88" s="95" t="s">
        <v>36</v>
      </c>
      <c r="C88" s="96">
        <v>57995.571100000001</v>
      </c>
      <c r="D88" s="96">
        <v>1.4E-3</v>
      </c>
      <c r="E88">
        <f t="shared" si="10"/>
        <v>19999.293002537939</v>
      </c>
      <c r="F88" s="97">
        <f>ROUND(2*E88,0)/2-0.5</f>
        <v>19999</v>
      </c>
      <c r="G88">
        <f t="shared" si="12"/>
        <v>9.0512000002490822E-2</v>
      </c>
      <c r="K88">
        <f>+G88</f>
        <v>9.0512000002490822E-2</v>
      </c>
      <c r="O88">
        <f t="shared" ca="1" si="18"/>
        <v>8.7850839444988504E-2</v>
      </c>
      <c r="P88" s="55">
        <f t="shared" si="13"/>
        <v>9.094524311327723E-2</v>
      </c>
      <c r="Q88" s="2">
        <f t="shared" si="14"/>
        <v>42977.071100000001</v>
      </c>
      <c r="R88" s="57">
        <f t="shared" si="15"/>
        <v>1.8769959304388348E-7</v>
      </c>
      <c r="S88" s="67">
        <v>1</v>
      </c>
      <c r="T88" s="57">
        <f t="shared" si="16"/>
        <v>1.8769959304388348E-7</v>
      </c>
    </row>
    <row r="89" spans="1:20" x14ac:dyDescent="0.2">
      <c r="A89" s="98" t="s">
        <v>327</v>
      </c>
      <c r="B89" s="99" t="s">
        <v>37</v>
      </c>
      <c r="C89" s="100">
        <v>57923.438109999988</v>
      </c>
      <c r="D89" s="100">
        <v>8.9999999999999998E-4</v>
      </c>
      <c r="E89">
        <f>+(C89-C$7)/C$8</f>
        <v>19765.786405189785</v>
      </c>
      <c r="F89" s="97">
        <f>ROUND(2*E89,0)/2-0.5</f>
        <v>19765.5</v>
      </c>
      <c r="G89">
        <f>+C89-(C$7+F89*C$8)</f>
        <v>8.847399998921901E-2</v>
      </c>
      <c r="K89">
        <f>+G89</f>
        <v>8.847399998921901E-2</v>
      </c>
      <c r="O89">
        <f ca="1">+C$11+C$12*$F89</f>
        <v>8.609395230983774E-2</v>
      </c>
      <c r="P89" s="55">
        <f>+D$11+D$12*F89+D$13*F89^2</f>
        <v>8.8707279315078644E-2</v>
      </c>
      <c r="Q89" s="2">
        <f>+C89-15018.5</f>
        <v>42904.938109999988</v>
      </c>
      <c r="R89" s="57">
        <f>+(P89-G89)^2</f>
        <v>5.4419243873525233E-8</v>
      </c>
      <c r="S89" s="67">
        <v>1</v>
      </c>
      <c r="T89" s="57">
        <f>+S89*R89</f>
        <v>5.4419243873525233E-8</v>
      </c>
    </row>
  </sheetData>
  <protectedRanges>
    <protectedRange sqref="A89:D89" name="Range1"/>
  </protectedRanges>
  <phoneticPr fontId="8" type="noConversion"/>
  <hyperlinks>
    <hyperlink ref="H64034" r:id="rId1" display="http://vsolj.cetus-net.org/bulletin.html"/>
    <hyperlink ref="H64027" r:id="rId2" display="https://www.aavso.org/ejaavso"/>
    <hyperlink ref="I64034" r:id="rId3" display="http://vsolj.cetus-net.org/bulletin.html"/>
    <hyperlink ref="AQ57685" r:id="rId4" display="http://cdsbib.u-strasbg.fr/cgi-bin/cdsbib?1990RMxAA..21..381G"/>
    <hyperlink ref="H64031" r:id="rId5" display="https://www.aavso.org/ejaavso"/>
    <hyperlink ref="AP5049" r:id="rId6" display="http://cdsbib.u-strasbg.fr/cgi-bin/cdsbib?1990RMxAA..21..381G"/>
    <hyperlink ref="AP5052" r:id="rId7" display="http://cdsbib.u-strasbg.fr/cgi-bin/cdsbib?1990RMxAA..21..381G"/>
    <hyperlink ref="AP5050" r:id="rId8" display="http://cdsbib.u-strasbg.fr/cgi-bin/cdsbib?1990RMxAA..21..381G"/>
    <hyperlink ref="AP5034" r:id="rId9" display="http://cdsbib.u-strasbg.fr/cgi-bin/cdsbib?1990RMxAA..21..381G"/>
    <hyperlink ref="AQ5263" r:id="rId10" display="http://cdsbib.u-strasbg.fr/cgi-bin/cdsbib?1990RMxAA..21..381G"/>
    <hyperlink ref="AQ5267" r:id="rId11" display="http://cdsbib.u-strasbg.fr/cgi-bin/cdsbib?1990RMxAA..21..381G"/>
    <hyperlink ref="AQ64947" r:id="rId12" display="http://cdsbib.u-strasbg.fr/cgi-bin/cdsbib?1990RMxAA..21..381G"/>
    <hyperlink ref="I2155" r:id="rId13" display="http://vsolj.cetus-net.org/bulletin.html"/>
    <hyperlink ref="H2155" r:id="rId14" display="http://vsolj.cetus-net.org/bulletin.html"/>
    <hyperlink ref="AQ72" r:id="rId15" display="http://cdsbib.u-strasbg.fr/cgi-bin/cdsbib?1990RMxAA..21..381G"/>
    <hyperlink ref="AQ71" r:id="rId16" display="http://cdsbib.u-strasbg.fr/cgi-bin/cdsbib?1990RMxAA..21..381G"/>
    <hyperlink ref="AP3325" r:id="rId17" display="http://cdsbib.u-strasbg.fr/cgi-bin/cdsbib?1990RMxAA..21..381G"/>
    <hyperlink ref="AP3343" r:id="rId18" display="http://cdsbib.u-strasbg.fr/cgi-bin/cdsbib?1990RMxAA..21..381G"/>
    <hyperlink ref="AP3344" r:id="rId19" display="http://cdsbib.u-strasbg.fr/cgi-bin/cdsbib?1990RMxAA..21..381G"/>
    <hyperlink ref="AP334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C30" sqref="C30:C31"/>
    </sheetView>
  </sheetViews>
  <sheetFormatPr defaultColWidth="10.28515625" defaultRowHeight="12.75" x14ac:dyDescent="0.2"/>
  <cols>
    <col min="1" max="1" width="14.42578125" customWidth="1"/>
    <col min="2" max="2" width="3.28515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40</v>
      </c>
      <c r="C1" s="19"/>
    </row>
    <row r="2" spans="1:4" x14ac:dyDescent="0.2">
      <c r="A2" t="s">
        <v>27</v>
      </c>
      <c r="B2" t="s">
        <v>33</v>
      </c>
    </row>
    <row r="3" spans="1:4" ht="13.5" thickBot="1" x14ac:dyDescent="0.25">
      <c r="C3" s="27" t="s">
        <v>43</v>
      </c>
    </row>
    <row r="4" spans="1:4" ht="14.25" thickTop="1" thickBot="1" x14ac:dyDescent="0.25">
      <c r="A4" s="8" t="s">
        <v>1</v>
      </c>
      <c r="C4" s="17" t="s">
        <v>39</v>
      </c>
      <c r="D4" s="18" t="s">
        <v>39</v>
      </c>
    </row>
    <row r="5" spans="1:4" ht="13.5" thickTop="1" x14ac:dyDescent="0.2"/>
    <row r="6" spans="1:4" x14ac:dyDescent="0.2">
      <c r="A6" s="8" t="s">
        <v>2</v>
      </c>
    </row>
    <row r="7" spans="1:4" x14ac:dyDescent="0.2">
      <c r="A7" t="s">
        <v>3</v>
      </c>
      <c r="C7" s="27">
        <v>51817.549500000001</v>
      </c>
      <c r="D7" s="27" t="s">
        <v>32</v>
      </c>
    </row>
    <row r="8" spans="1:4" x14ac:dyDescent="0.2">
      <c r="A8" t="s">
        <v>4</v>
      </c>
      <c r="C8" s="27">
        <v>0.308894</v>
      </c>
      <c r="D8" s="28">
        <v>5024</v>
      </c>
    </row>
    <row r="10" spans="1:4" ht="13.5" thickBot="1" x14ac:dyDescent="0.25">
      <c r="C10" s="7" t="s">
        <v>22</v>
      </c>
      <c r="D10" s="7" t="s">
        <v>23</v>
      </c>
    </row>
    <row r="11" spans="1:4" x14ac:dyDescent="0.2">
      <c r="A11" t="s">
        <v>17</v>
      </c>
      <c r="C11">
        <f>INTERCEPT(G21:G991,$F21:$F991)</f>
        <v>1.9887269918558697E-2</v>
      </c>
      <c r="D11" s="6"/>
    </row>
    <row r="12" spans="1:4" x14ac:dyDescent="0.2">
      <c r="A12" t="s">
        <v>18</v>
      </c>
      <c r="C12">
        <f>SLOPE(G21:G991,$F21:$F991)</f>
        <v>-1.4509467659467463E-5</v>
      </c>
      <c r="D12" s="6"/>
    </row>
    <row r="13" spans="1:4" x14ac:dyDescent="0.2">
      <c r="A13" t="s">
        <v>21</v>
      </c>
      <c r="C13" s="6" t="s">
        <v>15</v>
      </c>
      <c r="D13" s="6"/>
    </row>
    <row r="14" spans="1:4" x14ac:dyDescent="0.2">
      <c r="A14" t="s">
        <v>26</v>
      </c>
    </row>
    <row r="15" spans="1:4" x14ac:dyDescent="0.2">
      <c r="A15" s="3" t="s">
        <v>19</v>
      </c>
      <c r="C15" s="22">
        <f>(C7+C11)+(C8+C12)*INT(MAX(F21:F3533))</f>
        <v>53259.418849074886</v>
      </c>
    </row>
    <row r="16" spans="1:4" x14ac:dyDescent="0.2">
      <c r="A16" s="8" t="s">
        <v>5</v>
      </c>
      <c r="C16" s="23">
        <f>+C8+C12</f>
        <v>0.30887949053234054</v>
      </c>
    </row>
    <row r="17" spans="1:17" ht="13.5" thickBot="1" x14ac:dyDescent="0.25"/>
    <row r="18" spans="1:17" x14ac:dyDescent="0.2">
      <c r="A18" s="8" t="s">
        <v>6</v>
      </c>
      <c r="C18" s="4">
        <f>+C15</f>
        <v>53259.418849074886</v>
      </c>
      <c r="D18" s="5">
        <f>+C16</f>
        <v>0.30887949053234054</v>
      </c>
    </row>
    <row r="19" spans="1:17" ht="13.5" thickTop="1" x14ac:dyDescent="0.2">
      <c r="C19">
        <f>COUNT(C21:C2183)</f>
        <v>32</v>
      </c>
    </row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32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 x14ac:dyDescent="0.2">
      <c r="A21" s="15" t="s">
        <v>38</v>
      </c>
      <c r="B21" s="6" t="s">
        <v>37</v>
      </c>
      <c r="C21" s="15">
        <v>51771.369899999998</v>
      </c>
      <c r="D21" s="14"/>
      <c r="E21">
        <f t="shared" ref="E21:E42" si="0">+(C21-C$7)/C$8</f>
        <v>-149.49982842011539</v>
      </c>
      <c r="F21">
        <f t="shared" ref="F21:F52" si="1">ROUND(2*E21,0)/2</f>
        <v>-149.5</v>
      </c>
      <c r="G21">
        <f t="shared" ref="G21:G42" si="2">+C21-(C$7+F21*C$8)</f>
        <v>5.2999996114522219E-5</v>
      </c>
      <c r="I21">
        <f t="shared" ref="I21:I42" si="3">+G21</f>
        <v>5.2999996114522219E-5</v>
      </c>
      <c r="O21">
        <f t="shared" ref="O21:O42" si="4">+C$11+C$12*$F21</f>
        <v>2.2056435333649083E-2</v>
      </c>
      <c r="Q21" s="2">
        <f t="shared" ref="Q21:Q42" si="5">+C21-15018.5</f>
        <v>36752.869899999998</v>
      </c>
    </row>
    <row r="22" spans="1:17" x14ac:dyDescent="0.2">
      <c r="A22" s="15" t="s">
        <v>38</v>
      </c>
      <c r="B22" s="6" t="s">
        <v>36</v>
      </c>
      <c r="C22" s="15">
        <v>51771.522599999997</v>
      </c>
      <c r="D22" s="14"/>
      <c r="E22">
        <f t="shared" si="0"/>
        <v>-149.00548408193228</v>
      </c>
      <c r="F22">
        <f t="shared" si="1"/>
        <v>-149</v>
      </c>
      <c r="G22">
        <f t="shared" si="2"/>
        <v>-1.6940000059548765E-3</v>
      </c>
      <c r="I22">
        <f t="shared" si="3"/>
        <v>-1.6940000059548765E-3</v>
      </c>
      <c r="O22">
        <f t="shared" si="4"/>
        <v>2.2049180599819349E-2</v>
      </c>
      <c r="Q22" s="2">
        <f t="shared" si="5"/>
        <v>36753.022599999997</v>
      </c>
    </row>
    <row r="23" spans="1:17" x14ac:dyDescent="0.2">
      <c r="A23" s="15" t="s">
        <v>38</v>
      </c>
      <c r="B23" s="6" t="s">
        <v>36</v>
      </c>
      <c r="C23" s="15">
        <v>51816.001308333332</v>
      </c>
      <c r="D23" s="14"/>
      <c r="E23">
        <f t="shared" si="0"/>
        <v>-5.0120483617958653</v>
      </c>
      <c r="F23">
        <f t="shared" si="1"/>
        <v>-5</v>
      </c>
      <c r="G23">
        <f t="shared" si="2"/>
        <v>-3.7216666678432375E-3</v>
      </c>
      <c r="I23">
        <f t="shared" si="3"/>
        <v>-3.7216666678432375E-3</v>
      </c>
      <c r="O23">
        <f t="shared" si="4"/>
        <v>1.9959817256856034E-2</v>
      </c>
      <c r="Q23" s="2">
        <f t="shared" si="5"/>
        <v>36797.501308333332</v>
      </c>
    </row>
    <row r="24" spans="1:17" x14ac:dyDescent="0.2">
      <c r="A24" s="15" t="s">
        <v>38</v>
      </c>
      <c r="B24" s="6" t="s">
        <v>37</v>
      </c>
      <c r="C24" s="15">
        <v>51816.469100000002</v>
      </c>
      <c r="D24" s="14"/>
      <c r="E24">
        <f t="shared" si="0"/>
        <v>-3.497639967104953</v>
      </c>
      <c r="F24">
        <f t="shared" si="1"/>
        <v>-3.5</v>
      </c>
      <c r="G24">
        <f t="shared" si="2"/>
        <v>7.2899999941000715E-4</v>
      </c>
      <c r="I24">
        <f t="shared" si="3"/>
        <v>7.2899999941000715E-4</v>
      </c>
      <c r="O24">
        <f t="shared" si="4"/>
        <v>1.9938053055366833E-2</v>
      </c>
      <c r="Q24" s="2">
        <f t="shared" si="5"/>
        <v>36797.969100000002</v>
      </c>
    </row>
    <row r="25" spans="1:17" x14ac:dyDescent="0.2">
      <c r="A25" s="15" t="s">
        <v>38</v>
      </c>
      <c r="B25" s="6" t="s">
        <v>36</v>
      </c>
      <c r="C25" s="15">
        <v>51816.622100000001</v>
      </c>
      <c r="D25" s="14"/>
      <c r="E25">
        <f t="shared" si="0"/>
        <v>-3.0023244219715792</v>
      </c>
      <c r="F25">
        <f t="shared" si="1"/>
        <v>-3</v>
      </c>
      <c r="G25">
        <f t="shared" si="2"/>
        <v>-7.1800000296207145E-4</v>
      </c>
      <c r="I25">
        <f t="shared" si="3"/>
        <v>-7.1800000296207145E-4</v>
      </c>
      <c r="O25">
        <f t="shared" si="4"/>
        <v>1.9930798321537099E-2</v>
      </c>
      <c r="Q25" s="2">
        <f t="shared" si="5"/>
        <v>36798.122100000001</v>
      </c>
    </row>
    <row r="26" spans="1:17" x14ac:dyDescent="0.2">
      <c r="A26" s="15" t="s">
        <v>38</v>
      </c>
      <c r="B26" s="6" t="s">
        <v>36</v>
      </c>
      <c r="C26" s="15">
        <v>51817.548900000002</v>
      </c>
      <c r="D26" s="14"/>
      <c r="E26">
        <f t="shared" si="0"/>
        <v>-1.9424139005440064E-3</v>
      </c>
      <c r="F26">
        <f t="shared" si="1"/>
        <v>0</v>
      </c>
      <c r="G26">
        <f t="shared" si="2"/>
        <v>-5.9999999939464033E-4</v>
      </c>
      <c r="I26">
        <f t="shared" si="3"/>
        <v>-5.9999999939464033E-4</v>
      </c>
      <c r="O26">
        <f t="shared" si="4"/>
        <v>1.9887269918558697E-2</v>
      </c>
      <c r="Q26" s="2">
        <f t="shared" si="5"/>
        <v>36799.048900000002</v>
      </c>
    </row>
    <row r="27" spans="1:17" x14ac:dyDescent="0.2">
      <c r="A27" s="15" t="s">
        <v>38</v>
      </c>
      <c r="B27" s="6" t="s">
        <v>36</v>
      </c>
      <c r="C27" s="15">
        <v>51838.554799999998</v>
      </c>
      <c r="D27" s="6"/>
      <c r="E27">
        <f t="shared" si="0"/>
        <v>68.001644577094666</v>
      </c>
      <c r="F27">
        <f t="shared" si="1"/>
        <v>68</v>
      </c>
      <c r="G27">
        <f t="shared" si="2"/>
        <v>5.0799999735318124E-4</v>
      </c>
      <c r="I27">
        <f t="shared" si="3"/>
        <v>5.0799999735318124E-4</v>
      </c>
      <c r="O27">
        <f t="shared" si="4"/>
        <v>1.8900626117714911E-2</v>
      </c>
      <c r="Q27" s="2">
        <f t="shared" si="5"/>
        <v>36820.054799999998</v>
      </c>
    </row>
    <row r="28" spans="1:17" x14ac:dyDescent="0.2">
      <c r="A28" s="15" t="s">
        <v>38</v>
      </c>
      <c r="B28" s="6" t="s">
        <v>37</v>
      </c>
      <c r="C28" s="15">
        <v>51839.328300000001</v>
      </c>
      <c r="D28" s="6"/>
      <c r="E28">
        <f t="shared" si="0"/>
        <v>70.505739833082046</v>
      </c>
      <c r="F28">
        <f t="shared" si="1"/>
        <v>70.5</v>
      </c>
      <c r="G28">
        <f t="shared" si="2"/>
        <v>1.7730000035953708E-3</v>
      </c>
      <c r="I28">
        <f t="shared" si="3"/>
        <v>1.7730000035953708E-3</v>
      </c>
      <c r="O28">
        <f t="shared" si="4"/>
        <v>1.8864352448566241E-2</v>
      </c>
      <c r="Q28" s="2">
        <f t="shared" si="5"/>
        <v>36820.828300000001</v>
      </c>
    </row>
    <row r="29" spans="1:17" x14ac:dyDescent="0.2">
      <c r="A29" s="15" t="s">
        <v>38</v>
      </c>
      <c r="B29" s="6" t="s">
        <v>36</v>
      </c>
      <c r="C29" s="15">
        <v>51839.483099999998</v>
      </c>
      <c r="D29" s="6"/>
      <c r="E29">
        <f t="shared" si="0"/>
        <v>71.00688261991705</v>
      </c>
      <c r="F29">
        <f t="shared" si="1"/>
        <v>71</v>
      </c>
      <c r="G29">
        <f t="shared" si="2"/>
        <v>2.1259999994072132E-3</v>
      </c>
      <c r="I29">
        <f t="shared" si="3"/>
        <v>2.1259999994072132E-3</v>
      </c>
      <c r="O29">
        <f t="shared" si="4"/>
        <v>1.8857097714736506E-2</v>
      </c>
      <c r="Q29" s="2">
        <f t="shared" si="5"/>
        <v>36820.983099999998</v>
      </c>
    </row>
    <row r="30" spans="1:17" x14ac:dyDescent="0.2">
      <c r="A30" s="15" t="s">
        <v>38</v>
      </c>
      <c r="B30" s="6" t="s">
        <v>37</v>
      </c>
      <c r="C30" s="15">
        <v>51890.001204166663</v>
      </c>
      <c r="D30" s="6"/>
      <c r="E30">
        <f t="shared" si="0"/>
        <v>234.55199572235861</v>
      </c>
      <c r="F30">
        <f t="shared" si="1"/>
        <v>234.5</v>
      </c>
      <c r="G30">
        <f t="shared" si="2"/>
        <v>1.6061166665167548E-2</v>
      </c>
      <c r="I30">
        <f t="shared" si="3"/>
        <v>1.6061166665167548E-2</v>
      </c>
      <c r="O30">
        <f t="shared" si="4"/>
        <v>1.6484799752413577E-2</v>
      </c>
      <c r="Q30" s="2">
        <f t="shared" si="5"/>
        <v>36871.501204166663</v>
      </c>
    </row>
    <row r="31" spans="1:17" x14ac:dyDescent="0.2">
      <c r="A31" s="11" t="s">
        <v>34</v>
      </c>
      <c r="B31" s="16"/>
      <c r="C31" s="15">
        <v>51901.2644</v>
      </c>
      <c r="D31" s="6">
        <v>4.0000000000000002E-4</v>
      </c>
      <c r="E31">
        <f t="shared" si="0"/>
        <v>271.01497601118518</v>
      </c>
      <c r="F31">
        <f t="shared" si="1"/>
        <v>271</v>
      </c>
      <c r="G31">
        <f t="shared" si="2"/>
        <v>4.6260000017355196E-3</v>
      </c>
      <c r="I31">
        <f t="shared" si="3"/>
        <v>4.6260000017355196E-3</v>
      </c>
      <c r="O31">
        <f t="shared" si="4"/>
        <v>1.5955204182843016E-2</v>
      </c>
      <c r="Q31" s="2">
        <f t="shared" si="5"/>
        <v>36882.7644</v>
      </c>
    </row>
    <row r="32" spans="1:17" x14ac:dyDescent="0.2">
      <c r="A32" s="11" t="s">
        <v>34</v>
      </c>
      <c r="B32" s="16"/>
      <c r="C32" s="15">
        <v>52083.521000000001</v>
      </c>
      <c r="D32" s="6">
        <v>8.0000000000000004E-4</v>
      </c>
      <c r="E32">
        <f t="shared" si="0"/>
        <v>861.04456544963534</v>
      </c>
      <c r="F32">
        <f t="shared" si="1"/>
        <v>861</v>
      </c>
      <c r="G32">
        <f t="shared" si="2"/>
        <v>1.3765999996394385E-2</v>
      </c>
      <c r="I32">
        <f t="shared" si="3"/>
        <v>1.3765999996394385E-2</v>
      </c>
      <c r="O32">
        <f t="shared" si="4"/>
        <v>7.3946182637572109E-3</v>
      </c>
      <c r="Q32" s="2">
        <f t="shared" si="5"/>
        <v>37065.021000000001</v>
      </c>
    </row>
    <row r="33" spans="1:17" x14ac:dyDescent="0.2">
      <c r="A33" s="11" t="s">
        <v>34</v>
      </c>
      <c r="B33" s="16"/>
      <c r="C33" s="15">
        <v>52084.447399999997</v>
      </c>
      <c r="D33" s="6">
        <v>4.0000000000000002E-4</v>
      </c>
      <c r="E33">
        <f t="shared" si="0"/>
        <v>864.04365251509023</v>
      </c>
      <c r="F33">
        <f t="shared" si="1"/>
        <v>864</v>
      </c>
      <c r="G33">
        <f t="shared" si="2"/>
        <v>1.348399999551475E-2</v>
      </c>
      <c r="I33">
        <f t="shared" si="3"/>
        <v>1.348399999551475E-2</v>
      </c>
      <c r="O33">
        <f t="shared" si="4"/>
        <v>7.3510898607788092E-3</v>
      </c>
      <c r="Q33" s="2">
        <f t="shared" si="5"/>
        <v>37065.947399999997</v>
      </c>
    </row>
    <row r="34" spans="1:17" x14ac:dyDescent="0.2">
      <c r="A34" s="11" t="s">
        <v>34</v>
      </c>
      <c r="B34" s="16"/>
      <c r="C34" s="15">
        <v>52113.486700000001</v>
      </c>
      <c r="D34" s="6">
        <v>1E-3</v>
      </c>
      <c r="E34">
        <f t="shared" si="0"/>
        <v>958.05421924673283</v>
      </c>
      <c r="F34">
        <f t="shared" si="1"/>
        <v>958</v>
      </c>
      <c r="G34">
        <f t="shared" si="2"/>
        <v>1.6748000001825858E-2</v>
      </c>
      <c r="I34">
        <f t="shared" si="3"/>
        <v>1.6748000001825858E-2</v>
      </c>
      <c r="O34">
        <f t="shared" si="4"/>
        <v>5.9871999007888674E-3</v>
      </c>
      <c r="Q34" s="2">
        <f t="shared" si="5"/>
        <v>37094.986700000001</v>
      </c>
    </row>
    <row r="35" spans="1:17" x14ac:dyDescent="0.2">
      <c r="A35" s="11" t="s">
        <v>34</v>
      </c>
      <c r="B35" s="16"/>
      <c r="C35" s="15">
        <v>52134.492899999997</v>
      </c>
      <c r="D35" s="6">
        <v>1.8E-3</v>
      </c>
      <c r="E35">
        <f t="shared" si="0"/>
        <v>1026.0587774446783</v>
      </c>
      <c r="F35">
        <f t="shared" si="1"/>
        <v>1026</v>
      </c>
      <c r="G35">
        <f t="shared" si="2"/>
        <v>1.8155999998271E-2</v>
      </c>
      <c r="I35">
        <f t="shared" si="3"/>
        <v>1.8155999998271E-2</v>
      </c>
      <c r="O35">
        <f t="shared" si="4"/>
        <v>5.0005560999450797E-3</v>
      </c>
      <c r="Q35" s="2">
        <f t="shared" si="5"/>
        <v>37115.992899999997</v>
      </c>
    </row>
    <row r="36" spans="1:17" x14ac:dyDescent="0.2">
      <c r="A36" s="11" t="s">
        <v>34</v>
      </c>
      <c r="B36" s="16"/>
      <c r="C36" s="15">
        <v>52194.417999999998</v>
      </c>
      <c r="D36" s="6">
        <v>5.0000000000000001E-4</v>
      </c>
      <c r="E36">
        <f t="shared" si="0"/>
        <v>1220.0576896928942</v>
      </c>
      <c r="F36">
        <f t="shared" si="1"/>
        <v>1220</v>
      </c>
      <c r="G36">
        <f t="shared" si="2"/>
        <v>1.781999999366235E-2</v>
      </c>
      <c r="I36">
        <f t="shared" si="3"/>
        <v>1.781999999366235E-2</v>
      </c>
      <c r="O36">
        <f t="shared" si="4"/>
        <v>2.1857193740083929E-3</v>
      </c>
      <c r="Q36" s="2">
        <f t="shared" si="5"/>
        <v>37175.917999999998</v>
      </c>
    </row>
    <row r="37" spans="1:17" x14ac:dyDescent="0.2">
      <c r="A37" s="11" t="s">
        <v>34</v>
      </c>
      <c r="B37" s="6" t="s">
        <v>37</v>
      </c>
      <c r="C37" s="15">
        <v>52194.574399999998</v>
      </c>
      <c r="D37" s="6">
        <v>5.5999999999999999E-3</v>
      </c>
      <c r="E37">
        <f t="shared" si="0"/>
        <v>1220.5640122501463</v>
      </c>
      <c r="F37">
        <f t="shared" si="1"/>
        <v>1220.5</v>
      </c>
      <c r="G37">
        <f t="shared" si="2"/>
        <v>1.9772999999986496E-2</v>
      </c>
      <c r="I37">
        <f t="shared" si="3"/>
        <v>1.9772999999986496E-2</v>
      </c>
      <c r="O37">
        <f t="shared" si="4"/>
        <v>2.1784646401786581E-3</v>
      </c>
      <c r="Q37" s="2">
        <f t="shared" si="5"/>
        <v>37176.074399999998</v>
      </c>
    </row>
    <row r="38" spans="1:17" x14ac:dyDescent="0.2">
      <c r="A38" s="11" t="s">
        <v>34</v>
      </c>
      <c r="B38" s="16"/>
      <c r="C38" s="15">
        <v>52228.403299999998</v>
      </c>
      <c r="D38" s="6">
        <v>1.4E-3</v>
      </c>
      <c r="E38">
        <f t="shared" si="0"/>
        <v>1330.080221694164</v>
      </c>
      <c r="F38">
        <f t="shared" si="1"/>
        <v>1330</v>
      </c>
      <c r="G38">
        <f t="shared" si="2"/>
        <v>2.4779999999736901E-2</v>
      </c>
      <c r="I38">
        <f t="shared" si="3"/>
        <v>2.4779999999736901E-2</v>
      </c>
      <c r="O38">
        <f t="shared" si="4"/>
        <v>5.8967793146697325E-4</v>
      </c>
      <c r="Q38" s="2">
        <f t="shared" si="5"/>
        <v>37209.903299999998</v>
      </c>
    </row>
    <row r="39" spans="1:17" x14ac:dyDescent="0.2">
      <c r="A39" s="11" t="s">
        <v>34</v>
      </c>
      <c r="B39" s="6" t="s">
        <v>37</v>
      </c>
      <c r="C39" s="15">
        <v>52228.557699999998</v>
      </c>
      <c r="D39" s="6">
        <v>5.0000000000000001E-4</v>
      </c>
      <c r="E39">
        <f t="shared" si="0"/>
        <v>1330.5800695384066</v>
      </c>
      <c r="F39">
        <f t="shared" si="1"/>
        <v>1330.5</v>
      </c>
      <c r="G39">
        <f t="shared" si="2"/>
        <v>2.4732999998377636E-2</v>
      </c>
      <c r="I39">
        <f t="shared" si="3"/>
        <v>2.4732999998377636E-2</v>
      </c>
      <c r="O39">
        <f t="shared" si="4"/>
        <v>5.8242319763723849E-4</v>
      </c>
      <c r="Q39" s="2">
        <f t="shared" si="5"/>
        <v>37210.057699999998</v>
      </c>
    </row>
    <row r="40" spans="1:17" x14ac:dyDescent="0.2">
      <c r="A40" s="11" t="s">
        <v>35</v>
      </c>
      <c r="B40" s="12"/>
      <c r="C40" s="20">
        <v>52505.495199999998</v>
      </c>
      <c r="D40" s="13">
        <v>2E-3</v>
      </c>
      <c r="E40">
        <f t="shared" si="0"/>
        <v>2227.1254864128036</v>
      </c>
      <c r="F40">
        <f t="shared" si="1"/>
        <v>2227</v>
      </c>
      <c r="G40">
        <f t="shared" si="2"/>
        <v>3.8761999996495433E-2</v>
      </c>
      <c r="I40">
        <f t="shared" si="3"/>
        <v>3.8761999996495433E-2</v>
      </c>
      <c r="O40">
        <f t="shared" si="4"/>
        <v>-1.2425314559075345E-2</v>
      </c>
      <c r="Q40" s="2">
        <f t="shared" si="5"/>
        <v>37486.995199999998</v>
      </c>
    </row>
    <row r="41" spans="1:17" x14ac:dyDescent="0.2">
      <c r="A41" s="11" t="s">
        <v>35</v>
      </c>
      <c r="B41" s="12"/>
      <c r="C41" s="20">
        <v>52617.321799999998</v>
      </c>
      <c r="D41" s="13">
        <v>3.8E-3</v>
      </c>
      <c r="E41">
        <f t="shared" si="0"/>
        <v>2589.1480572623518</v>
      </c>
      <c r="F41">
        <f t="shared" si="1"/>
        <v>2589</v>
      </c>
      <c r="G41">
        <f t="shared" si="2"/>
        <v>4.5733999999356456E-2</v>
      </c>
      <c r="I41">
        <f t="shared" si="3"/>
        <v>4.5733999999356456E-2</v>
      </c>
      <c r="O41">
        <f t="shared" si="4"/>
        <v>-1.7677741851802566E-2</v>
      </c>
      <c r="Q41" s="2">
        <f t="shared" si="5"/>
        <v>37598.821799999998</v>
      </c>
    </row>
    <row r="42" spans="1:17" x14ac:dyDescent="0.2">
      <c r="A42" s="11" t="s">
        <v>35</v>
      </c>
      <c r="B42" s="12"/>
      <c r="C42" s="20">
        <v>52621.336300000003</v>
      </c>
      <c r="D42" s="13">
        <v>2.3E-3</v>
      </c>
      <c r="E42">
        <f t="shared" si="0"/>
        <v>2602.1444249483698</v>
      </c>
      <c r="F42">
        <f t="shared" si="1"/>
        <v>2602</v>
      </c>
      <c r="G42">
        <f t="shared" si="2"/>
        <v>4.4612000005145092E-2</v>
      </c>
      <c r="I42">
        <f t="shared" si="3"/>
        <v>4.4612000005145092E-2</v>
      </c>
      <c r="O42">
        <f t="shared" si="4"/>
        <v>-1.7866364931375642E-2</v>
      </c>
      <c r="Q42" s="2">
        <f t="shared" si="5"/>
        <v>37602.836300000003</v>
      </c>
    </row>
    <row r="43" spans="1:17" x14ac:dyDescent="0.2">
      <c r="A43" s="24" t="s">
        <v>41</v>
      </c>
      <c r="B43" s="6" t="s">
        <v>37</v>
      </c>
      <c r="C43" s="15">
        <v>52875.419699999999</v>
      </c>
      <c r="D43" s="15">
        <v>2.3999999999999998E-3</v>
      </c>
      <c r="E43">
        <f t="shared" ref="E43:E52" si="6">+(C43-C$7)/C$8</f>
        <v>3424.7029725407342</v>
      </c>
      <c r="F43">
        <f t="shared" si="1"/>
        <v>3424.5</v>
      </c>
      <c r="G43">
        <f t="shared" ref="G43:G52" si="7">+C43-(C$7+F43*C$8)</f>
        <v>6.2697000001207925E-2</v>
      </c>
      <c r="I43">
        <f t="shared" ref="I43:I52" si="8">+G43</f>
        <v>6.2697000001207925E-2</v>
      </c>
      <c r="O43">
        <f t="shared" ref="O43:O52" si="9">+C$11+C$12*$F43</f>
        <v>-2.980040208128763E-2</v>
      </c>
      <c r="Q43" s="2">
        <f t="shared" ref="Q43:Q52" si="10">+C43-15018.5</f>
        <v>37856.919699999999</v>
      </c>
    </row>
    <row r="44" spans="1:17" x14ac:dyDescent="0.2">
      <c r="A44" s="24" t="s">
        <v>41</v>
      </c>
      <c r="B44" s="25"/>
      <c r="C44" s="15">
        <v>53222.483399999997</v>
      </c>
      <c r="D44" s="15">
        <v>5.0000000000000001E-4</v>
      </c>
      <c r="E44">
        <f t="shared" si="6"/>
        <v>4548.2718990980602</v>
      </c>
      <c r="F44">
        <f t="shared" si="1"/>
        <v>4548.5</v>
      </c>
      <c r="G44">
        <f t="shared" si="7"/>
        <v>-7.0459000002301764E-2</v>
      </c>
      <c r="I44">
        <f t="shared" si="8"/>
        <v>-7.0459000002301764E-2</v>
      </c>
      <c r="O44">
        <f t="shared" si="9"/>
        <v>-4.6109043730529056E-2</v>
      </c>
      <c r="Q44" s="2">
        <f t="shared" si="10"/>
        <v>38203.983399999997</v>
      </c>
    </row>
    <row r="45" spans="1:17" x14ac:dyDescent="0.2">
      <c r="A45" s="24" t="s">
        <v>41</v>
      </c>
      <c r="B45" s="25"/>
      <c r="C45" s="15">
        <v>53226.500399999997</v>
      </c>
      <c r="D45" s="15">
        <v>3.0999999999999999E-3</v>
      </c>
      <c r="E45">
        <f t="shared" si="6"/>
        <v>4561.2763601753231</v>
      </c>
      <c r="F45">
        <f t="shared" si="1"/>
        <v>4561.5</v>
      </c>
      <c r="G45">
        <f t="shared" si="7"/>
        <v>-6.9081000001460779E-2</v>
      </c>
      <c r="I45">
        <f t="shared" si="8"/>
        <v>-6.9081000001460779E-2</v>
      </c>
      <c r="O45">
        <f t="shared" si="9"/>
        <v>-4.6297666810102125E-2</v>
      </c>
      <c r="Q45" s="2">
        <f t="shared" si="10"/>
        <v>38208.000399999997</v>
      </c>
    </row>
    <row r="46" spans="1:17" x14ac:dyDescent="0.2">
      <c r="A46" s="24" t="s">
        <v>41</v>
      </c>
      <c r="B46" s="6" t="s">
        <v>37</v>
      </c>
      <c r="C46" s="15">
        <v>53242.403899999998</v>
      </c>
      <c r="D46" s="15">
        <v>6.9999999999999999E-4</v>
      </c>
      <c r="E46">
        <f t="shared" si="6"/>
        <v>4612.7616593394387</v>
      </c>
      <c r="F46">
        <f t="shared" si="1"/>
        <v>4613</v>
      </c>
      <c r="G46">
        <f t="shared" si="7"/>
        <v>-7.362200000352459E-2</v>
      </c>
      <c r="I46">
        <f t="shared" si="8"/>
        <v>-7.362200000352459E-2</v>
      </c>
      <c r="O46">
        <f t="shared" si="9"/>
        <v>-4.7044904394564699E-2</v>
      </c>
      <c r="Q46" s="2">
        <f t="shared" si="10"/>
        <v>38223.903899999998</v>
      </c>
    </row>
    <row r="47" spans="1:17" x14ac:dyDescent="0.2">
      <c r="A47" s="24" t="s">
        <v>41</v>
      </c>
      <c r="B47" s="6" t="s">
        <v>37</v>
      </c>
      <c r="C47" s="15">
        <v>53255.383099999999</v>
      </c>
      <c r="D47" s="15">
        <v>6.3E-3</v>
      </c>
      <c r="E47">
        <f t="shared" si="6"/>
        <v>4654.7799568784048</v>
      </c>
      <c r="F47">
        <f t="shared" si="1"/>
        <v>4655</v>
      </c>
      <c r="G47">
        <f t="shared" si="7"/>
        <v>-6.7970000003697351E-2</v>
      </c>
      <c r="I47">
        <f t="shared" si="8"/>
        <v>-6.7970000003697351E-2</v>
      </c>
      <c r="O47">
        <f t="shared" si="9"/>
        <v>-4.7654302036262336E-2</v>
      </c>
      <c r="Q47" s="2">
        <f t="shared" si="10"/>
        <v>38236.883099999999</v>
      </c>
    </row>
    <row r="48" spans="1:17" x14ac:dyDescent="0.2">
      <c r="A48" s="24" t="s">
        <v>41</v>
      </c>
      <c r="B48" s="25"/>
      <c r="C48" s="15">
        <v>53255.5357</v>
      </c>
      <c r="D48" s="26"/>
      <c r="E48">
        <f t="shared" si="6"/>
        <v>4655.2739774809461</v>
      </c>
      <c r="F48">
        <f t="shared" si="1"/>
        <v>4655.5</v>
      </c>
      <c r="G48">
        <f t="shared" si="7"/>
        <v>-6.9817000003240537E-2</v>
      </c>
      <c r="I48">
        <f t="shared" si="8"/>
        <v>-6.9817000003240537E-2</v>
      </c>
      <c r="O48">
        <f t="shared" si="9"/>
        <v>-4.7661556770092067E-2</v>
      </c>
      <c r="Q48" s="2">
        <f t="shared" si="10"/>
        <v>38237.0357</v>
      </c>
    </row>
    <row r="49" spans="1:17" x14ac:dyDescent="0.2">
      <c r="A49" s="24" t="s">
        <v>41</v>
      </c>
      <c r="B49" s="25"/>
      <c r="C49" s="15">
        <v>53256.465300000003</v>
      </c>
      <c r="D49" s="15">
        <v>5.9999999999999995E-4</v>
      </c>
      <c r="E49">
        <f t="shared" si="6"/>
        <v>4658.2834240872353</v>
      </c>
      <c r="F49">
        <f t="shared" si="1"/>
        <v>4658.5</v>
      </c>
      <c r="G49">
        <f t="shared" si="7"/>
        <v>-6.6898999997647479E-2</v>
      </c>
      <c r="I49">
        <f t="shared" si="8"/>
        <v>-6.6898999997647479E-2</v>
      </c>
      <c r="O49">
        <f t="shared" si="9"/>
        <v>-4.7705085173070469E-2</v>
      </c>
      <c r="Q49" s="2">
        <f t="shared" si="10"/>
        <v>38237.965300000003</v>
      </c>
    </row>
    <row r="50" spans="1:17" x14ac:dyDescent="0.2">
      <c r="A50" s="24" t="s">
        <v>41</v>
      </c>
      <c r="B50" s="6" t="s">
        <v>37</v>
      </c>
      <c r="C50" s="15">
        <v>53258.472300000001</v>
      </c>
      <c r="D50" s="15">
        <v>4.0000000000000002E-4</v>
      </c>
      <c r="E50">
        <f t="shared" si="6"/>
        <v>4664.7807985911031</v>
      </c>
      <c r="F50">
        <f t="shared" si="1"/>
        <v>4665</v>
      </c>
      <c r="G50">
        <f t="shared" si="7"/>
        <v>-6.7710000002989545E-2</v>
      </c>
      <c r="I50">
        <f t="shared" si="8"/>
        <v>-6.7710000002989545E-2</v>
      </c>
      <c r="O50">
        <f t="shared" si="9"/>
        <v>-4.7799396712857017E-2</v>
      </c>
      <c r="Q50" s="2">
        <f t="shared" si="10"/>
        <v>38239.972300000001</v>
      </c>
    </row>
    <row r="51" spans="1:17" x14ac:dyDescent="0.2">
      <c r="A51" s="24" t="s">
        <v>41</v>
      </c>
      <c r="B51" s="6" t="s">
        <v>37</v>
      </c>
      <c r="C51" s="15">
        <v>53259.400800000003</v>
      </c>
      <c r="D51" s="15">
        <v>1.2999999999999999E-3</v>
      </c>
      <c r="E51">
        <f t="shared" si="6"/>
        <v>4667.7866841052337</v>
      </c>
      <c r="F51">
        <f t="shared" si="1"/>
        <v>4668</v>
      </c>
      <c r="G51">
        <f t="shared" si="7"/>
        <v>-6.5891999998711981E-2</v>
      </c>
      <c r="I51">
        <f t="shared" si="8"/>
        <v>-6.5891999998711981E-2</v>
      </c>
      <c r="O51">
        <f t="shared" si="9"/>
        <v>-4.7842925115835419E-2</v>
      </c>
      <c r="Q51" s="2">
        <f t="shared" si="10"/>
        <v>38240.900800000003</v>
      </c>
    </row>
    <row r="52" spans="1:17" x14ac:dyDescent="0.2">
      <c r="A52" s="24" t="s">
        <v>41</v>
      </c>
      <c r="B52" s="25"/>
      <c r="C52" s="15">
        <v>53259.552799999998</v>
      </c>
      <c r="D52" s="15">
        <v>2.0000000000000001E-4</v>
      </c>
      <c r="E52">
        <f t="shared" si="6"/>
        <v>4668.2787622938504</v>
      </c>
      <c r="F52">
        <f t="shared" si="1"/>
        <v>4668.5</v>
      </c>
      <c r="G52">
        <f t="shared" si="7"/>
        <v>-6.8339000004925765E-2</v>
      </c>
      <c r="I52">
        <f t="shared" si="8"/>
        <v>-6.8339000004925765E-2</v>
      </c>
      <c r="O52">
        <f t="shared" si="9"/>
        <v>-4.785017984966515E-2</v>
      </c>
      <c r="Q52" s="2">
        <f t="shared" si="10"/>
        <v>38241.052799999998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5"/>
  <sheetViews>
    <sheetView topLeftCell="A37" workbookViewId="0">
      <selection activeCell="A62" sqref="A62:C72"/>
    </sheetView>
  </sheetViews>
  <sheetFormatPr defaultRowHeight="12.75" x14ac:dyDescent="0.2"/>
  <cols>
    <col min="1" max="1" width="19.7109375" style="15" customWidth="1"/>
    <col min="2" max="2" width="4.42578125" style="31" customWidth="1"/>
    <col min="3" max="3" width="12.7109375" style="15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15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 x14ac:dyDescent="0.25">
      <c r="A1" s="70" t="s">
        <v>68</v>
      </c>
      <c r="I1" s="71" t="s">
        <v>69</v>
      </c>
      <c r="J1" s="72" t="s">
        <v>70</v>
      </c>
    </row>
    <row r="2" spans="1:16" x14ac:dyDescent="0.2">
      <c r="I2" s="73" t="s">
        <v>71</v>
      </c>
      <c r="J2" s="74" t="s">
        <v>72</v>
      </c>
    </row>
    <row r="3" spans="1:16" x14ac:dyDescent="0.2">
      <c r="A3" s="75" t="s">
        <v>73</v>
      </c>
      <c r="I3" s="73" t="s">
        <v>74</v>
      </c>
      <c r="J3" s="74" t="s">
        <v>75</v>
      </c>
    </row>
    <row r="4" spans="1:16" x14ac:dyDescent="0.2">
      <c r="I4" s="73" t="s">
        <v>76</v>
      </c>
      <c r="J4" s="74" t="s">
        <v>75</v>
      </c>
    </row>
    <row r="5" spans="1:16" ht="13.5" thickBot="1" x14ac:dyDescent="0.25">
      <c r="I5" s="76" t="s">
        <v>77</v>
      </c>
      <c r="J5" s="77" t="s">
        <v>78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BAVM 135 </v>
      </c>
      <c r="B11" s="6" t="str">
        <f t="shared" ref="B11:B42" si="1">IF(H11=INT(H11),"I","II")</f>
        <v>II</v>
      </c>
      <c r="C11" s="15">
        <f t="shared" ref="C11:C42" si="2">1*G11</f>
        <v>51771.369899999998</v>
      </c>
      <c r="D11" s="31" t="str">
        <f t="shared" ref="D11:D42" si="3">VLOOKUP(F11,I$1:J$5,2,FALSE)</f>
        <v>vis</v>
      </c>
      <c r="E11" s="78">
        <f>VLOOKUP(C11,Active!C$21:E$973,3,FALSE)</f>
        <v>-149.49111721138419</v>
      </c>
      <c r="F11" s="6" t="s">
        <v>77</v>
      </c>
      <c r="G11" s="31" t="str">
        <f t="shared" ref="G11:G42" si="4">MID(I11,3,LEN(I11)-3)</f>
        <v>51771.3699</v>
      </c>
      <c r="H11" s="15">
        <f t="shared" ref="H11:H42" si="5">1*K11</f>
        <v>-2359.5</v>
      </c>
      <c r="I11" s="79" t="s">
        <v>79</v>
      </c>
      <c r="J11" s="80" t="s">
        <v>80</v>
      </c>
      <c r="K11" s="79">
        <v>-2359.5</v>
      </c>
      <c r="L11" s="79" t="s">
        <v>81</v>
      </c>
      <c r="M11" s="80" t="s">
        <v>82</v>
      </c>
      <c r="N11" s="80" t="s">
        <v>83</v>
      </c>
      <c r="O11" s="81" t="s">
        <v>84</v>
      </c>
      <c r="P11" s="82" t="s">
        <v>85</v>
      </c>
    </row>
    <row r="12" spans="1:16" ht="12.75" customHeight="1" thickBot="1" x14ac:dyDescent="0.25">
      <c r="A12" s="15" t="str">
        <f t="shared" si="0"/>
        <v>BAVM 135 </v>
      </c>
      <c r="B12" s="6" t="str">
        <f t="shared" si="1"/>
        <v>I</v>
      </c>
      <c r="C12" s="15">
        <f t="shared" si="2"/>
        <v>51771.522599999997</v>
      </c>
      <c r="D12" s="31" t="str">
        <f t="shared" si="3"/>
        <v>vis</v>
      </c>
      <c r="E12" s="78">
        <f>VLOOKUP(C12,Active!C$21:E$973,3,FALSE)</f>
        <v>-148.99680167816203</v>
      </c>
      <c r="F12" s="6" t="s">
        <v>77</v>
      </c>
      <c r="G12" s="31" t="str">
        <f t="shared" si="4"/>
        <v>51771.5226</v>
      </c>
      <c r="H12" s="15">
        <f t="shared" si="5"/>
        <v>-2359</v>
      </c>
      <c r="I12" s="79" t="s">
        <v>86</v>
      </c>
      <c r="J12" s="80" t="s">
        <v>87</v>
      </c>
      <c r="K12" s="79">
        <v>-2359</v>
      </c>
      <c r="L12" s="79" t="s">
        <v>88</v>
      </c>
      <c r="M12" s="80" t="s">
        <v>82</v>
      </c>
      <c r="N12" s="80" t="s">
        <v>83</v>
      </c>
      <c r="O12" s="81" t="s">
        <v>84</v>
      </c>
      <c r="P12" s="82" t="s">
        <v>85</v>
      </c>
    </row>
    <row r="13" spans="1:16" ht="12.75" customHeight="1" thickBot="1" x14ac:dyDescent="0.25">
      <c r="A13" s="15" t="str">
        <f t="shared" si="0"/>
        <v>BAVM 135 </v>
      </c>
      <c r="B13" s="6" t="str">
        <f t="shared" si="1"/>
        <v>II</v>
      </c>
      <c r="C13" s="15">
        <f t="shared" si="2"/>
        <v>51816.469100000002</v>
      </c>
      <c r="D13" s="31" t="str">
        <f t="shared" si="3"/>
        <v>vis</v>
      </c>
      <c r="E13" s="78">
        <f>VLOOKUP(C13,Active!C$21:E$973,3,FALSE)</f>
        <v>-3.4974361630461663</v>
      </c>
      <c r="F13" s="6" t="s">
        <v>77</v>
      </c>
      <c r="G13" s="31" t="str">
        <f t="shared" si="4"/>
        <v>51816.4691</v>
      </c>
      <c r="H13" s="15">
        <f t="shared" si="5"/>
        <v>-2213.5</v>
      </c>
      <c r="I13" s="79" t="s">
        <v>92</v>
      </c>
      <c r="J13" s="80" t="s">
        <v>93</v>
      </c>
      <c r="K13" s="79">
        <v>-2213.5</v>
      </c>
      <c r="L13" s="79" t="s">
        <v>94</v>
      </c>
      <c r="M13" s="80" t="s">
        <v>82</v>
      </c>
      <c r="N13" s="80" t="s">
        <v>83</v>
      </c>
      <c r="O13" s="81" t="s">
        <v>84</v>
      </c>
      <c r="P13" s="82" t="s">
        <v>85</v>
      </c>
    </row>
    <row r="14" spans="1:16" ht="12.75" customHeight="1" thickBot="1" x14ac:dyDescent="0.25">
      <c r="A14" s="15" t="str">
        <f t="shared" si="0"/>
        <v>BAVM 135 </v>
      </c>
      <c r="B14" s="6" t="str">
        <f t="shared" si="1"/>
        <v>I</v>
      </c>
      <c r="C14" s="15">
        <f t="shared" si="2"/>
        <v>51816.622100000001</v>
      </c>
      <c r="D14" s="31" t="str">
        <f t="shared" si="3"/>
        <v>vis</v>
      </c>
      <c r="E14" s="78">
        <f>VLOOKUP(C14,Active!C$21:E$973,3,FALSE)</f>
        <v>-3.0021494794649897</v>
      </c>
      <c r="F14" s="6" t="s">
        <v>77</v>
      </c>
      <c r="G14" s="31" t="str">
        <f t="shared" si="4"/>
        <v>51816.6221</v>
      </c>
      <c r="H14" s="15">
        <f t="shared" si="5"/>
        <v>-2213</v>
      </c>
      <c r="I14" s="79" t="s">
        <v>95</v>
      </c>
      <c r="J14" s="80" t="s">
        <v>96</v>
      </c>
      <c r="K14" s="79">
        <v>-2213</v>
      </c>
      <c r="L14" s="79" t="s">
        <v>97</v>
      </c>
      <c r="M14" s="80" t="s">
        <v>82</v>
      </c>
      <c r="N14" s="80" t="s">
        <v>83</v>
      </c>
      <c r="O14" s="81" t="s">
        <v>84</v>
      </c>
      <c r="P14" s="82" t="s">
        <v>85</v>
      </c>
    </row>
    <row r="15" spans="1:16" ht="12.75" customHeight="1" thickBot="1" x14ac:dyDescent="0.25">
      <c r="A15" s="15" t="str">
        <f t="shared" si="0"/>
        <v>BAVM 135 </v>
      </c>
      <c r="B15" s="6" t="str">
        <f t="shared" si="1"/>
        <v>I</v>
      </c>
      <c r="C15" s="15">
        <f t="shared" si="2"/>
        <v>51817.548900000002</v>
      </c>
      <c r="D15" s="31" t="str">
        <f t="shared" si="3"/>
        <v>vis</v>
      </c>
      <c r="E15" s="78">
        <f>VLOOKUP(C15,Active!C$21:E$973,3,FALSE)</f>
        <v>-1.9423007179864824E-3</v>
      </c>
      <c r="F15" s="6" t="s">
        <v>77</v>
      </c>
      <c r="G15" s="31" t="str">
        <f t="shared" si="4"/>
        <v>51817.5489</v>
      </c>
      <c r="H15" s="15">
        <f t="shared" si="5"/>
        <v>-2210</v>
      </c>
      <c r="I15" s="79" t="s">
        <v>98</v>
      </c>
      <c r="J15" s="80" t="s">
        <v>99</v>
      </c>
      <c r="K15" s="79">
        <v>-2210</v>
      </c>
      <c r="L15" s="79" t="s">
        <v>100</v>
      </c>
      <c r="M15" s="80" t="s">
        <v>82</v>
      </c>
      <c r="N15" s="80" t="s">
        <v>83</v>
      </c>
      <c r="O15" s="81" t="s">
        <v>84</v>
      </c>
      <c r="P15" s="82" t="s">
        <v>85</v>
      </c>
    </row>
    <row r="16" spans="1:16" ht="12.75" customHeight="1" thickBot="1" x14ac:dyDescent="0.25">
      <c r="A16" s="15" t="str">
        <f t="shared" si="0"/>
        <v>BAVM 135 </v>
      </c>
      <c r="B16" s="6" t="str">
        <f t="shared" si="1"/>
        <v>I</v>
      </c>
      <c r="C16" s="15">
        <f t="shared" si="2"/>
        <v>51838.554799999998</v>
      </c>
      <c r="D16" s="31" t="str">
        <f t="shared" si="3"/>
        <v>vis</v>
      </c>
      <c r="E16" s="78">
        <f>VLOOKUP(C16,Active!C$21:E$973,3,FALSE)</f>
        <v>67.997682187798063</v>
      </c>
      <c r="F16" s="6" t="s">
        <v>77</v>
      </c>
      <c r="G16" s="31" t="str">
        <f t="shared" si="4"/>
        <v>51838.5548</v>
      </c>
      <c r="H16" s="15">
        <f t="shared" si="5"/>
        <v>-2142</v>
      </c>
      <c r="I16" s="79" t="s">
        <v>101</v>
      </c>
      <c r="J16" s="80" t="s">
        <v>102</v>
      </c>
      <c r="K16" s="79">
        <v>-2142</v>
      </c>
      <c r="L16" s="79" t="s">
        <v>103</v>
      </c>
      <c r="M16" s="80" t="s">
        <v>82</v>
      </c>
      <c r="N16" s="80" t="s">
        <v>83</v>
      </c>
      <c r="O16" s="81" t="s">
        <v>84</v>
      </c>
      <c r="P16" s="82" t="s">
        <v>85</v>
      </c>
    </row>
    <row r="17" spans="1:16" ht="12.75" customHeight="1" thickBot="1" x14ac:dyDescent="0.25">
      <c r="A17" s="15" t="str">
        <f t="shared" si="0"/>
        <v>BAVM 135 </v>
      </c>
      <c r="B17" s="6" t="str">
        <f t="shared" si="1"/>
        <v>II</v>
      </c>
      <c r="C17" s="15">
        <f t="shared" si="2"/>
        <v>51839.328300000001</v>
      </c>
      <c r="D17" s="31" t="str">
        <f t="shared" si="3"/>
        <v>vis</v>
      </c>
      <c r="E17" s="78">
        <f>VLOOKUP(C17,Active!C$21:E$973,3,FALSE)</f>
        <v>70.501631532604904</v>
      </c>
      <c r="F17" s="6" t="s">
        <v>77</v>
      </c>
      <c r="G17" s="31" t="str">
        <f t="shared" si="4"/>
        <v>51839.3283</v>
      </c>
      <c r="H17" s="15">
        <f t="shared" si="5"/>
        <v>-2139.5</v>
      </c>
      <c r="I17" s="79" t="s">
        <v>104</v>
      </c>
      <c r="J17" s="80" t="s">
        <v>105</v>
      </c>
      <c r="K17" s="79">
        <v>-2139.5</v>
      </c>
      <c r="L17" s="79" t="s">
        <v>106</v>
      </c>
      <c r="M17" s="80" t="s">
        <v>82</v>
      </c>
      <c r="N17" s="80" t="s">
        <v>83</v>
      </c>
      <c r="O17" s="81" t="s">
        <v>84</v>
      </c>
      <c r="P17" s="82" t="s">
        <v>85</v>
      </c>
    </row>
    <row r="18" spans="1:16" ht="12.75" customHeight="1" thickBot="1" x14ac:dyDescent="0.25">
      <c r="A18" s="15" t="str">
        <f t="shared" si="0"/>
        <v>BAVM 135 </v>
      </c>
      <c r="B18" s="6" t="str">
        <f t="shared" si="1"/>
        <v>I</v>
      </c>
      <c r="C18" s="15">
        <f t="shared" si="2"/>
        <v>51839.483099999998</v>
      </c>
      <c r="D18" s="31" t="str">
        <f t="shared" si="3"/>
        <v>vis</v>
      </c>
      <c r="E18" s="78">
        <f>VLOOKUP(C18,Active!C$21:E$973,3,FALSE)</f>
        <v>71.00274511834003</v>
      </c>
      <c r="F18" s="6" t="s">
        <v>77</v>
      </c>
      <c r="G18" s="31" t="str">
        <f t="shared" si="4"/>
        <v>51839.4831</v>
      </c>
      <c r="H18" s="15">
        <f t="shared" si="5"/>
        <v>-2139</v>
      </c>
      <c r="I18" s="79" t="s">
        <v>107</v>
      </c>
      <c r="J18" s="80" t="s">
        <v>108</v>
      </c>
      <c r="K18" s="79">
        <v>-2139</v>
      </c>
      <c r="L18" s="79" t="s">
        <v>109</v>
      </c>
      <c r="M18" s="80" t="s">
        <v>82</v>
      </c>
      <c r="N18" s="80" t="s">
        <v>83</v>
      </c>
      <c r="O18" s="81" t="s">
        <v>84</v>
      </c>
      <c r="P18" s="82" t="s">
        <v>85</v>
      </c>
    </row>
    <row r="19" spans="1:16" ht="12.75" customHeight="1" thickBot="1" x14ac:dyDescent="0.25">
      <c r="A19" s="15" t="str">
        <f t="shared" si="0"/>
        <v>BAVM 152 </v>
      </c>
      <c r="B19" s="6" t="str">
        <f t="shared" si="1"/>
        <v>I</v>
      </c>
      <c r="C19" s="15">
        <f t="shared" si="2"/>
        <v>51901.2644</v>
      </c>
      <c r="D19" s="31" t="str">
        <f t="shared" si="3"/>
        <v>vis</v>
      </c>
      <c r="E19" s="78">
        <f>VLOOKUP(C19,Active!C$21:E$973,3,FALSE)</f>
        <v>270.99918423369445</v>
      </c>
      <c r="F19" s="6" t="s">
        <v>77</v>
      </c>
      <c r="G19" s="31" t="str">
        <f t="shared" si="4"/>
        <v>51901.2644</v>
      </c>
      <c r="H19" s="15">
        <f t="shared" si="5"/>
        <v>-1939</v>
      </c>
      <c r="I19" s="79" t="s">
        <v>113</v>
      </c>
      <c r="J19" s="80" t="s">
        <v>114</v>
      </c>
      <c r="K19" s="79">
        <v>-1939</v>
      </c>
      <c r="L19" s="79" t="s">
        <v>115</v>
      </c>
      <c r="M19" s="80" t="s">
        <v>82</v>
      </c>
      <c r="N19" s="80" t="s">
        <v>83</v>
      </c>
      <c r="O19" s="81" t="s">
        <v>84</v>
      </c>
      <c r="P19" s="82" t="s">
        <v>116</v>
      </c>
    </row>
    <row r="20" spans="1:16" ht="12.75" customHeight="1" thickBot="1" x14ac:dyDescent="0.25">
      <c r="A20" s="15" t="str">
        <f t="shared" si="0"/>
        <v>BAVM 152 </v>
      </c>
      <c r="B20" s="6" t="str">
        <f t="shared" si="1"/>
        <v>I</v>
      </c>
      <c r="C20" s="15">
        <f t="shared" si="2"/>
        <v>52083.521000000001</v>
      </c>
      <c r="D20" s="31" t="str">
        <f t="shared" si="3"/>
        <v>vis</v>
      </c>
      <c r="E20" s="78">
        <f>VLOOKUP(C20,Active!C$21:E$973,3,FALSE)</f>
        <v>860.99439322525393</v>
      </c>
      <c r="F20" s="6" t="s">
        <v>77</v>
      </c>
      <c r="G20" s="31" t="str">
        <f t="shared" si="4"/>
        <v>52083.5210</v>
      </c>
      <c r="H20" s="15">
        <f t="shared" si="5"/>
        <v>-1349</v>
      </c>
      <c r="I20" s="79" t="s">
        <v>117</v>
      </c>
      <c r="J20" s="80" t="s">
        <v>118</v>
      </c>
      <c r="K20" s="79">
        <v>-1349</v>
      </c>
      <c r="L20" s="79" t="s">
        <v>119</v>
      </c>
      <c r="M20" s="80" t="s">
        <v>82</v>
      </c>
      <c r="N20" s="80" t="s">
        <v>83</v>
      </c>
      <c r="O20" s="81" t="s">
        <v>84</v>
      </c>
      <c r="P20" s="82" t="s">
        <v>116</v>
      </c>
    </row>
    <row r="21" spans="1:16" ht="12.75" customHeight="1" thickBot="1" x14ac:dyDescent="0.25">
      <c r="A21" s="15" t="str">
        <f t="shared" si="0"/>
        <v>BAVM 152 </v>
      </c>
      <c r="B21" s="6" t="str">
        <f t="shared" si="1"/>
        <v>I</v>
      </c>
      <c r="C21" s="15">
        <f t="shared" si="2"/>
        <v>52084.447399999997</v>
      </c>
      <c r="D21" s="31" t="str">
        <f t="shared" si="3"/>
        <v>vis</v>
      </c>
      <c r="E21" s="78">
        <f>VLOOKUP(C21,Active!C$21:E$973,3,FALSE)</f>
        <v>863.9933055368399</v>
      </c>
      <c r="F21" s="6" t="s">
        <v>77</v>
      </c>
      <c r="G21" s="31" t="str">
        <f t="shared" si="4"/>
        <v>52084.4474</v>
      </c>
      <c r="H21" s="15">
        <f t="shared" si="5"/>
        <v>-1346</v>
      </c>
      <c r="I21" s="79" t="s">
        <v>120</v>
      </c>
      <c r="J21" s="80" t="s">
        <v>121</v>
      </c>
      <c r="K21" s="79">
        <v>-1346</v>
      </c>
      <c r="L21" s="79" t="s">
        <v>122</v>
      </c>
      <c r="M21" s="80" t="s">
        <v>82</v>
      </c>
      <c r="N21" s="80" t="s">
        <v>83</v>
      </c>
      <c r="O21" s="81" t="s">
        <v>84</v>
      </c>
      <c r="P21" s="82" t="s">
        <v>116</v>
      </c>
    </row>
    <row r="22" spans="1:16" ht="12.75" customHeight="1" thickBot="1" x14ac:dyDescent="0.25">
      <c r="A22" s="15" t="str">
        <f t="shared" si="0"/>
        <v>BAVM 152 </v>
      </c>
      <c r="B22" s="6" t="str">
        <f t="shared" si="1"/>
        <v>I</v>
      </c>
      <c r="C22" s="15">
        <f t="shared" si="2"/>
        <v>52113.486700000001</v>
      </c>
      <c r="D22" s="31" t="str">
        <f t="shared" si="3"/>
        <v>vis</v>
      </c>
      <c r="E22" s="78">
        <f>VLOOKUP(C22,Active!C$21:E$973,3,FALSE)</f>
        <v>957.99839436473906</v>
      </c>
      <c r="F22" s="6" t="s">
        <v>77</v>
      </c>
      <c r="G22" s="31" t="str">
        <f t="shared" si="4"/>
        <v>52113.4867</v>
      </c>
      <c r="H22" s="15">
        <f t="shared" si="5"/>
        <v>-1252</v>
      </c>
      <c r="I22" s="79" t="s">
        <v>123</v>
      </c>
      <c r="J22" s="80" t="s">
        <v>124</v>
      </c>
      <c r="K22" s="79">
        <v>-1252</v>
      </c>
      <c r="L22" s="79" t="s">
        <v>125</v>
      </c>
      <c r="M22" s="80" t="s">
        <v>82</v>
      </c>
      <c r="N22" s="80" t="s">
        <v>83</v>
      </c>
      <c r="O22" s="81" t="s">
        <v>84</v>
      </c>
      <c r="P22" s="82" t="s">
        <v>116</v>
      </c>
    </row>
    <row r="23" spans="1:16" ht="12.75" customHeight="1" thickBot="1" x14ac:dyDescent="0.25">
      <c r="A23" s="15" t="str">
        <f t="shared" si="0"/>
        <v>BAVM 152 </v>
      </c>
      <c r="B23" s="6" t="str">
        <f t="shared" si="1"/>
        <v>I</v>
      </c>
      <c r="C23" s="15">
        <f t="shared" si="2"/>
        <v>52134.492899999997</v>
      </c>
      <c r="D23" s="31" t="str">
        <f t="shared" si="3"/>
        <v>vis</v>
      </c>
      <c r="E23" s="78">
        <f>VLOOKUP(C23,Active!C$21:E$973,3,FALSE)</f>
        <v>1025.9989900036142</v>
      </c>
      <c r="F23" s="6" t="s">
        <v>77</v>
      </c>
      <c r="G23" s="31" t="str">
        <f t="shared" si="4"/>
        <v>52134.4929</v>
      </c>
      <c r="H23" s="15">
        <f t="shared" si="5"/>
        <v>-1184</v>
      </c>
      <c r="I23" s="79" t="s">
        <v>126</v>
      </c>
      <c r="J23" s="80" t="s">
        <v>127</v>
      </c>
      <c r="K23" s="79">
        <v>-1184</v>
      </c>
      <c r="L23" s="79" t="s">
        <v>128</v>
      </c>
      <c r="M23" s="80" t="s">
        <v>82</v>
      </c>
      <c r="N23" s="80" t="s">
        <v>83</v>
      </c>
      <c r="O23" s="81" t="s">
        <v>84</v>
      </c>
      <c r="P23" s="82" t="s">
        <v>116</v>
      </c>
    </row>
    <row r="24" spans="1:16" ht="12.75" customHeight="1" thickBot="1" x14ac:dyDescent="0.25">
      <c r="A24" s="15" t="str">
        <f t="shared" si="0"/>
        <v>BAVM 152 </v>
      </c>
      <c r="B24" s="6" t="str">
        <f t="shared" si="1"/>
        <v>I</v>
      </c>
      <c r="C24" s="15">
        <f t="shared" si="2"/>
        <v>52194.417999999998</v>
      </c>
      <c r="D24" s="31" t="str">
        <f t="shared" si="3"/>
        <v>vis</v>
      </c>
      <c r="E24" s="78">
        <f>VLOOKUP(C24,Active!C$21:E$973,3,FALSE)</f>
        <v>1219.9865981250221</v>
      </c>
      <c r="F24" s="6" t="s">
        <v>77</v>
      </c>
      <c r="G24" s="31" t="str">
        <f t="shared" si="4"/>
        <v>52194.4180</v>
      </c>
      <c r="H24" s="15">
        <f t="shared" si="5"/>
        <v>-990</v>
      </c>
      <c r="I24" s="79" t="s">
        <v>129</v>
      </c>
      <c r="J24" s="80" t="s">
        <v>130</v>
      </c>
      <c r="K24" s="79">
        <v>-990</v>
      </c>
      <c r="L24" s="79" t="s">
        <v>131</v>
      </c>
      <c r="M24" s="80" t="s">
        <v>82</v>
      </c>
      <c r="N24" s="80" t="s">
        <v>83</v>
      </c>
      <c r="O24" s="81" t="s">
        <v>84</v>
      </c>
      <c r="P24" s="82" t="s">
        <v>116</v>
      </c>
    </row>
    <row r="25" spans="1:16" ht="12.75" customHeight="1" thickBot="1" x14ac:dyDescent="0.25">
      <c r="A25" s="15" t="str">
        <f t="shared" si="0"/>
        <v>BAVM 152 </v>
      </c>
      <c r="B25" s="6" t="str">
        <f t="shared" si="1"/>
        <v>II</v>
      </c>
      <c r="C25" s="15">
        <f t="shared" si="2"/>
        <v>52194.574399999998</v>
      </c>
      <c r="D25" s="31" t="str">
        <f t="shared" si="3"/>
        <v>vis</v>
      </c>
      <c r="E25" s="78">
        <f>VLOOKUP(C25,Active!C$21:E$973,3,FALSE)</f>
        <v>1220.4928911793543</v>
      </c>
      <c r="F25" s="6" t="s">
        <v>77</v>
      </c>
      <c r="G25" s="31" t="str">
        <f t="shared" si="4"/>
        <v>52194.5744</v>
      </c>
      <c r="H25" s="15">
        <f t="shared" si="5"/>
        <v>-989.5</v>
      </c>
      <c r="I25" s="79" t="s">
        <v>132</v>
      </c>
      <c r="J25" s="80" t="s">
        <v>133</v>
      </c>
      <c r="K25" s="79">
        <v>-989.5</v>
      </c>
      <c r="L25" s="79" t="s">
        <v>134</v>
      </c>
      <c r="M25" s="80" t="s">
        <v>82</v>
      </c>
      <c r="N25" s="80" t="s">
        <v>83</v>
      </c>
      <c r="O25" s="81" t="s">
        <v>84</v>
      </c>
      <c r="P25" s="82" t="s">
        <v>116</v>
      </c>
    </row>
    <row r="26" spans="1:16" ht="12.75" customHeight="1" thickBot="1" x14ac:dyDescent="0.25">
      <c r="A26" s="15" t="str">
        <f t="shared" si="0"/>
        <v>BAVM 152 </v>
      </c>
      <c r="B26" s="6" t="str">
        <f t="shared" si="1"/>
        <v>I</v>
      </c>
      <c r="C26" s="15">
        <f t="shared" si="2"/>
        <v>52228.403299999998</v>
      </c>
      <c r="D26" s="31" t="str">
        <f t="shared" si="3"/>
        <v>vis</v>
      </c>
      <c r="E26" s="78">
        <f>VLOOKUP(C26,Active!C$21:E$973,3,FALSE)</f>
        <v>1330.0027192209986</v>
      </c>
      <c r="F26" s="6" t="s">
        <v>77</v>
      </c>
      <c r="G26" s="31" t="str">
        <f t="shared" si="4"/>
        <v>52228.4033</v>
      </c>
      <c r="H26" s="15">
        <f t="shared" si="5"/>
        <v>-880</v>
      </c>
      <c r="I26" s="79" t="s">
        <v>135</v>
      </c>
      <c r="J26" s="80" t="s">
        <v>136</v>
      </c>
      <c r="K26" s="79">
        <v>-880</v>
      </c>
      <c r="L26" s="79" t="s">
        <v>137</v>
      </c>
      <c r="M26" s="80" t="s">
        <v>82</v>
      </c>
      <c r="N26" s="80" t="s">
        <v>83</v>
      </c>
      <c r="O26" s="81" t="s">
        <v>84</v>
      </c>
      <c r="P26" s="82" t="s">
        <v>116</v>
      </c>
    </row>
    <row r="27" spans="1:16" ht="12.75" customHeight="1" thickBot="1" x14ac:dyDescent="0.25">
      <c r="A27" s="15" t="str">
        <f t="shared" si="0"/>
        <v>BAVM 152 </v>
      </c>
      <c r="B27" s="6" t="str">
        <f t="shared" si="1"/>
        <v>II</v>
      </c>
      <c r="C27" s="15">
        <f t="shared" si="2"/>
        <v>52228.557699999998</v>
      </c>
      <c r="D27" s="31" t="str">
        <f t="shared" si="3"/>
        <v>vis</v>
      </c>
      <c r="E27" s="78">
        <f>VLOOKUP(C27,Active!C$21:E$973,3,FALSE)</f>
        <v>1330.5025379395963</v>
      </c>
      <c r="F27" s="6" t="s">
        <v>77</v>
      </c>
      <c r="G27" s="31" t="str">
        <f t="shared" si="4"/>
        <v>52228.5577</v>
      </c>
      <c r="H27" s="15">
        <f t="shared" si="5"/>
        <v>-879.5</v>
      </c>
      <c r="I27" s="79" t="s">
        <v>138</v>
      </c>
      <c r="J27" s="80" t="s">
        <v>139</v>
      </c>
      <c r="K27" s="79">
        <v>-879.5</v>
      </c>
      <c r="L27" s="79" t="s">
        <v>140</v>
      </c>
      <c r="M27" s="80" t="s">
        <v>82</v>
      </c>
      <c r="N27" s="80" t="s">
        <v>83</v>
      </c>
      <c r="O27" s="81" t="s">
        <v>84</v>
      </c>
      <c r="P27" s="82" t="s">
        <v>116</v>
      </c>
    </row>
    <row r="28" spans="1:16" ht="12.75" customHeight="1" thickBot="1" x14ac:dyDescent="0.25">
      <c r="A28" s="15" t="str">
        <f t="shared" si="0"/>
        <v>BAVM 158 </v>
      </c>
      <c r="B28" s="6" t="str">
        <f t="shared" si="1"/>
        <v>I</v>
      </c>
      <c r="C28" s="15">
        <f t="shared" si="2"/>
        <v>52505.495199999998</v>
      </c>
      <c r="D28" s="31" t="str">
        <f t="shared" si="3"/>
        <v>vis</v>
      </c>
      <c r="E28" s="78">
        <f>VLOOKUP(C28,Active!C$21:E$973,3,FALSE)</f>
        <v>2226.9957139897333</v>
      </c>
      <c r="F28" s="6" t="s">
        <v>77</v>
      </c>
      <c r="G28" s="31" t="str">
        <f t="shared" si="4"/>
        <v>52505.4952</v>
      </c>
      <c r="H28" s="15">
        <f t="shared" si="5"/>
        <v>17</v>
      </c>
      <c r="I28" s="79" t="s">
        <v>141</v>
      </c>
      <c r="J28" s="80" t="s">
        <v>142</v>
      </c>
      <c r="K28" s="79">
        <v>17</v>
      </c>
      <c r="L28" s="79" t="s">
        <v>143</v>
      </c>
      <c r="M28" s="80" t="s">
        <v>82</v>
      </c>
      <c r="N28" s="80" t="s">
        <v>144</v>
      </c>
      <c r="O28" s="81" t="s">
        <v>84</v>
      </c>
      <c r="P28" s="82" t="s">
        <v>145</v>
      </c>
    </row>
    <row r="29" spans="1:16" ht="12.75" customHeight="1" thickBot="1" x14ac:dyDescent="0.25">
      <c r="A29" s="15" t="str">
        <f t="shared" si="0"/>
        <v>BAVM 158 </v>
      </c>
      <c r="B29" s="6" t="str">
        <f t="shared" si="1"/>
        <v>I</v>
      </c>
      <c r="C29" s="15">
        <f t="shared" si="2"/>
        <v>52617.321799999998</v>
      </c>
      <c r="D29" s="31" t="str">
        <f t="shared" si="3"/>
        <v>vis</v>
      </c>
      <c r="E29" s="78">
        <f>VLOOKUP(C29,Active!C$21:E$973,3,FALSE)</f>
        <v>2588.9971901382814</v>
      </c>
      <c r="F29" s="6" t="s">
        <v>77</v>
      </c>
      <c r="G29" s="31" t="str">
        <f t="shared" si="4"/>
        <v>52617.3218</v>
      </c>
      <c r="H29" s="15">
        <f t="shared" si="5"/>
        <v>379</v>
      </c>
      <c r="I29" s="79" t="s">
        <v>146</v>
      </c>
      <c r="J29" s="80" t="s">
        <v>147</v>
      </c>
      <c r="K29" s="79" t="s">
        <v>148</v>
      </c>
      <c r="L29" s="79" t="s">
        <v>149</v>
      </c>
      <c r="M29" s="80" t="s">
        <v>82</v>
      </c>
      <c r="N29" s="80" t="s">
        <v>144</v>
      </c>
      <c r="O29" s="81" t="s">
        <v>84</v>
      </c>
      <c r="P29" s="82" t="s">
        <v>145</v>
      </c>
    </row>
    <row r="30" spans="1:16" ht="12.75" customHeight="1" thickBot="1" x14ac:dyDescent="0.25">
      <c r="A30" s="15" t="str">
        <f t="shared" si="0"/>
        <v>BAVM 158 </v>
      </c>
      <c r="B30" s="6" t="str">
        <f t="shared" si="1"/>
        <v>I</v>
      </c>
      <c r="C30" s="15">
        <f t="shared" si="2"/>
        <v>52621.336300000003</v>
      </c>
      <c r="D30" s="31" t="str">
        <f t="shared" si="3"/>
        <v>vis</v>
      </c>
      <c r="E30" s="78">
        <f>VLOOKUP(C30,Active!C$21:E$973,3,FALSE)</f>
        <v>2601.9928005386701</v>
      </c>
      <c r="F30" s="6" t="s">
        <v>77</v>
      </c>
      <c r="G30" s="31" t="str">
        <f t="shared" si="4"/>
        <v>52621.3363</v>
      </c>
      <c r="H30" s="15">
        <f t="shared" si="5"/>
        <v>392</v>
      </c>
      <c r="I30" s="79" t="s">
        <v>150</v>
      </c>
      <c r="J30" s="80" t="s">
        <v>151</v>
      </c>
      <c r="K30" s="79" t="s">
        <v>152</v>
      </c>
      <c r="L30" s="79" t="s">
        <v>153</v>
      </c>
      <c r="M30" s="80" t="s">
        <v>82</v>
      </c>
      <c r="N30" s="80" t="s">
        <v>144</v>
      </c>
      <c r="O30" s="81" t="s">
        <v>84</v>
      </c>
      <c r="P30" s="82" t="s">
        <v>145</v>
      </c>
    </row>
    <row r="31" spans="1:16" ht="12.75" customHeight="1" thickBot="1" x14ac:dyDescent="0.25">
      <c r="A31" s="15" t="str">
        <f t="shared" si="0"/>
        <v>BAVM 173 </v>
      </c>
      <c r="B31" s="6" t="str">
        <f t="shared" si="1"/>
        <v>II</v>
      </c>
      <c r="C31" s="15">
        <f t="shared" si="2"/>
        <v>52875.419699999999</v>
      </c>
      <c r="D31" s="31" t="str">
        <f t="shared" si="3"/>
        <v>vis</v>
      </c>
      <c r="E31" s="78">
        <f>VLOOKUP(C31,Active!C$21:E$973,3,FALSE)</f>
        <v>3424.5034184492588</v>
      </c>
      <c r="F31" s="6" t="s">
        <v>77</v>
      </c>
      <c r="G31" s="31" t="str">
        <f t="shared" si="4"/>
        <v>52875.4197</v>
      </c>
      <c r="H31" s="15">
        <f t="shared" si="5"/>
        <v>1214.5</v>
      </c>
      <c r="I31" s="79" t="s">
        <v>154</v>
      </c>
      <c r="J31" s="80" t="s">
        <v>155</v>
      </c>
      <c r="K31" s="79" t="s">
        <v>156</v>
      </c>
      <c r="L31" s="79" t="s">
        <v>157</v>
      </c>
      <c r="M31" s="80" t="s">
        <v>82</v>
      </c>
      <c r="N31" s="80" t="s">
        <v>144</v>
      </c>
      <c r="O31" s="81" t="s">
        <v>84</v>
      </c>
      <c r="P31" s="82" t="s">
        <v>158</v>
      </c>
    </row>
    <row r="32" spans="1:16" ht="12.75" customHeight="1" thickBot="1" x14ac:dyDescent="0.25">
      <c r="A32" s="15" t="str">
        <f t="shared" si="0"/>
        <v>BAVM 173 </v>
      </c>
      <c r="B32" s="6" t="str">
        <f t="shared" si="1"/>
        <v>I</v>
      </c>
      <c r="C32" s="15">
        <f t="shared" si="2"/>
        <v>53222.483399999997</v>
      </c>
      <c r="D32" s="31" t="str">
        <f t="shared" si="3"/>
        <v>vis</v>
      </c>
      <c r="E32" s="78">
        <f>VLOOKUP(C32,Active!C$21:E$973,3,FALSE)</f>
        <v>4548.006875744537</v>
      </c>
      <c r="F32" s="6" t="s">
        <v>77</v>
      </c>
      <c r="G32" s="31" t="str">
        <f t="shared" si="4"/>
        <v>53222.4834</v>
      </c>
      <c r="H32" s="15">
        <f t="shared" si="5"/>
        <v>2338</v>
      </c>
      <c r="I32" s="79" t="s">
        <v>159</v>
      </c>
      <c r="J32" s="80" t="s">
        <v>160</v>
      </c>
      <c r="K32" s="79" t="s">
        <v>161</v>
      </c>
      <c r="L32" s="79" t="s">
        <v>162</v>
      </c>
      <c r="M32" s="80" t="s">
        <v>82</v>
      </c>
      <c r="N32" s="80" t="s">
        <v>144</v>
      </c>
      <c r="O32" s="81" t="s">
        <v>84</v>
      </c>
      <c r="P32" s="82" t="s">
        <v>158</v>
      </c>
    </row>
    <row r="33" spans="1:16" ht="12.75" customHeight="1" thickBot="1" x14ac:dyDescent="0.25">
      <c r="A33" s="15" t="str">
        <f t="shared" si="0"/>
        <v>BAVM 173 </v>
      </c>
      <c r="B33" s="6" t="str">
        <f t="shared" si="1"/>
        <v>I</v>
      </c>
      <c r="C33" s="15">
        <f t="shared" si="2"/>
        <v>53226.500399999997</v>
      </c>
      <c r="D33" s="31" t="str">
        <f t="shared" si="3"/>
        <v>vis</v>
      </c>
      <c r="E33" s="78">
        <f>VLOOKUP(C33,Active!C$21:E$973,3,FALSE)</f>
        <v>4561.0105790645757</v>
      </c>
      <c r="F33" s="6" t="s">
        <v>77</v>
      </c>
      <c r="G33" s="31" t="str">
        <f t="shared" si="4"/>
        <v>53226.5004</v>
      </c>
      <c r="H33" s="15">
        <f t="shared" si="5"/>
        <v>2351</v>
      </c>
      <c r="I33" s="79" t="s">
        <v>163</v>
      </c>
      <c r="J33" s="80" t="s">
        <v>164</v>
      </c>
      <c r="K33" s="79" t="s">
        <v>165</v>
      </c>
      <c r="L33" s="79" t="s">
        <v>166</v>
      </c>
      <c r="M33" s="80" t="s">
        <v>82</v>
      </c>
      <c r="N33" s="80" t="s">
        <v>144</v>
      </c>
      <c r="O33" s="81" t="s">
        <v>84</v>
      </c>
      <c r="P33" s="82" t="s">
        <v>158</v>
      </c>
    </row>
    <row r="34" spans="1:16" ht="12.75" customHeight="1" thickBot="1" x14ac:dyDescent="0.25">
      <c r="A34" s="15" t="str">
        <f t="shared" si="0"/>
        <v>BAVM 173 </v>
      </c>
      <c r="B34" s="6" t="str">
        <f t="shared" si="1"/>
        <v>II</v>
      </c>
      <c r="C34" s="15">
        <f t="shared" si="2"/>
        <v>53242.403899999998</v>
      </c>
      <c r="D34" s="31" t="str">
        <f t="shared" si="3"/>
        <v>vis</v>
      </c>
      <c r="E34" s="78">
        <f>VLOOKUP(C34,Active!C$21:E$973,3,FALSE)</f>
        <v>4612.4928782306824</v>
      </c>
      <c r="F34" s="6" t="s">
        <v>77</v>
      </c>
      <c r="G34" s="31" t="str">
        <f t="shared" si="4"/>
        <v>53242.4039</v>
      </c>
      <c r="H34" s="15">
        <f t="shared" si="5"/>
        <v>2402.5</v>
      </c>
      <c r="I34" s="79" t="s">
        <v>167</v>
      </c>
      <c r="J34" s="80" t="s">
        <v>168</v>
      </c>
      <c r="K34" s="79" t="s">
        <v>169</v>
      </c>
      <c r="L34" s="79" t="s">
        <v>170</v>
      </c>
      <c r="M34" s="80" t="s">
        <v>82</v>
      </c>
      <c r="N34" s="80" t="s">
        <v>144</v>
      </c>
      <c r="O34" s="81" t="s">
        <v>84</v>
      </c>
      <c r="P34" s="82" t="s">
        <v>158</v>
      </c>
    </row>
    <row r="35" spans="1:16" ht="12.75" customHeight="1" thickBot="1" x14ac:dyDescent="0.25">
      <c r="A35" s="15" t="str">
        <f t="shared" si="0"/>
        <v>BAVM 173 </v>
      </c>
      <c r="B35" s="6" t="str">
        <f t="shared" si="1"/>
        <v>II</v>
      </c>
      <c r="C35" s="15">
        <f t="shared" si="2"/>
        <v>53255.383099999999</v>
      </c>
      <c r="D35" s="31" t="str">
        <f t="shared" si="3"/>
        <v>vis</v>
      </c>
      <c r="E35" s="78">
        <f>VLOOKUP(C35,Active!C$21:E$973,3,FALSE)</f>
        <v>4654.5087274045618</v>
      </c>
      <c r="F35" s="6" t="s">
        <v>77</v>
      </c>
      <c r="G35" s="31" t="str">
        <f t="shared" si="4"/>
        <v>53255.3831</v>
      </c>
      <c r="H35" s="15">
        <f t="shared" si="5"/>
        <v>2444.5</v>
      </c>
      <c r="I35" s="79" t="s">
        <v>171</v>
      </c>
      <c r="J35" s="80" t="s">
        <v>172</v>
      </c>
      <c r="K35" s="79" t="s">
        <v>173</v>
      </c>
      <c r="L35" s="79" t="s">
        <v>174</v>
      </c>
      <c r="M35" s="80" t="s">
        <v>82</v>
      </c>
      <c r="N35" s="80" t="s">
        <v>144</v>
      </c>
      <c r="O35" s="81" t="s">
        <v>84</v>
      </c>
      <c r="P35" s="82" t="s">
        <v>158</v>
      </c>
    </row>
    <row r="36" spans="1:16" ht="12.75" customHeight="1" thickBot="1" x14ac:dyDescent="0.25">
      <c r="A36" s="15" t="str">
        <f t="shared" si="0"/>
        <v>BAVM 173 </v>
      </c>
      <c r="B36" s="6" t="str">
        <f t="shared" si="1"/>
        <v>I</v>
      </c>
      <c r="C36" s="15">
        <f t="shared" si="2"/>
        <v>53255.5357</v>
      </c>
      <c r="D36" s="31" t="str">
        <f t="shared" si="3"/>
        <v>vis</v>
      </c>
      <c r="E36" s="78">
        <f>VLOOKUP(C36,Active!C$21:E$973,3,FALSE)</f>
        <v>4655.0027192210055</v>
      </c>
      <c r="F36" s="6" t="s">
        <v>77</v>
      </c>
      <c r="G36" s="31" t="str">
        <f t="shared" si="4"/>
        <v>53255.5357</v>
      </c>
      <c r="H36" s="15">
        <f t="shared" si="5"/>
        <v>2445</v>
      </c>
      <c r="I36" s="79" t="s">
        <v>175</v>
      </c>
      <c r="J36" s="80" t="s">
        <v>176</v>
      </c>
      <c r="K36" s="79" t="s">
        <v>177</v>
      </c>
      <c r="L36" s="79" t="s">
        <v>178</v>
      </c>
      <c r="M36" s="80" t="s">
        <v>82</v>
      </c>
      <c r="N36" s="80" t="s">
        <v>144</v>
      </c>
      <c r="O36" s="81" t="s">
        <v>84</v>
      </c>
      <c r="P36" s="82" t="s">
        <v>158</v>
      </c>
    </row>
    <row r="37" spans="1:16" ht="12.75" customHeight="1" thickBot="1" x14ac:dyDescent="0.25">
      <c r="A37" s="15" t="str">
        <f t="shared" si="0"/>
        <v>BAVM 173 </v>
      </c>
      <c r="B37" s="6" t="str">
        <f t="shared" si="1"/>
        <v>I</v>
      </c>
      <c r="C37" s="15">
        <f t="shared" si="2"/>
        <v>53256.465300000003</v>
      </c>
      <c r="D37" s="31" t="str">
        <f t="shared" si="3"/>
        <v>vis</v>
      </c>
      <c r="E37" s="78">
        <f>VLOOKUP(C37,Active!C$21:E$973,3,FALSE)</f>
        <v>4658.0119904697858</v>
      </c>
      <c r="F37" s="6" t="s">
        <v>77</v>
      </c>
      <c r="G37" s="31" t="str">
        <f t="shared" si="4"/>
        <v>53256.4653</v>
      </c>
      <c r="H37" s="15">
        <f t="shared" si="5"/>
        <v>2448</v>
      </c>
      <c r="I37" s="79" t="s">
        <v>179</v>
      </c>
      <c r="J37" s="80" t="s">
        <v>180</v>
      </c>
      <c r="K37" s="79" t="s">
        <v>181</v>
      </c>
      <c r="L37" s="79" t="s">
        <v>182</v>
      </c>
      <c r="M37" s="80" t="s">
        <v>82</v>
      </c>
      <c r="N37" s="80" t="s">
        <v>144</v>
      </c>
      <c r="O37" s="81" t="s">
        <v>84</v>
      </c>
      <c r="P37" s="82" t="s">
        <v>158</v>
      </c>
    </row>
    <row r="38" spans="1:16" ht="12.75" customHeight="1" thickBot="1" x14ac:dyDescent="0.25">
      <c r="A38" s="15" t="str">
        <f t="shared" si="0"/>
        <v>BAVM 173 </v>
      </c>
      <c r="B38" s="6" t="str">
        <f t="shared" si="1"/>
        <v>II</v>
      </c>
      <c r="C38" s="15">
        <f t="shared" si="2"/>
        <v>53258.472300000001</v>
      </c>
      <c r="D38" s="31" t="str">
        <f t="shared" si="3"/>
        <v>vis</v>
      </c>
      <c r="E38" s="78">
        <f>VLOOKUP(C38,Active!C$21:E$973,3,FALSE)</f>
        <v>4664.5089863779986</v>
      </c>
      <c r="F38" s="6" t="s">
        <v>77</v>
      </c>
      <c r="G38" s="31" t="str">
        <f t="shared" si="4"/>
        <v>53258.4723</v>
      </c>
      <c r="H38" s="15">
        <f t="shared" si="5"/>
        <v>2454.5</v>
      </c>
      <c r="I38" s="79" t="s">
        <v>183</v>
      </c>
      <c r="J38" s="80" t="s">
        <v>184</v>
      </c>
      <c r="K38" s="79" t="s">
        <v>185</v>
      </c>
      <c r="L38" s="79" t="s">
        <v>174</v>
      </c>
      <c r="M38" s="80" t="s">
        <v>82</v>
      </c>
      <c r="N38" s="80" t="s">
        <v>144</v>
      </c>
      <c r="O38" s="81" t="s">
        <v>84</v>
      </c>
      <c r="P38" s="82" t="s">
        <v>158</v>
      </c>
    </row>
    <row r="39" spans="1:16" ht="12.75" customHeight="1" thickBot="1" x14ac:dyDescent="0.25">
      <c r="A39" s="15" t="str">
        <f t="shared" si="0"/>
        <v>BAVM 173 </v>
      </c>
      <c r="B39" s="6" t="str">
        <f t="shared" si="1"/>
        <v>II</v>
      </c>
      <c r="C39" s="15">
        <f t="shared" si="2"/>
        <v>53259.400800000003</v>
      </c>
      <c r="D39" s="31" t="str">
        <f t="shared" si="3"/>
        <v>vis</v>
      </c>
      <c r="E39" s="78">
        <f>VLOOKUP(C39,Active!C$21:E$973,3,FALSE)</f>
        <v>4667.5146967421206</v>
      </c>
      <c r="F39" s="6" t="s">
        <v>77</v>
      </c>
      <c r="G39" s="31" t="str">
        <f t="shared" si="4"/>
        <v>53259.4008</v>
      </c>
      <c r="H39" s="15">
        <f t="shared" si="5"/>
        <v>2457.5</v>
      </c>
      <c r="I39" s="79" t="s">
        <v>186</v>
      </c>
      <c r="J39" s="80" t="s">
        <v>187</v>
      </c>
      <c r="K39" s="79" t="s">
        <v>188</v>
      </c>
      <c r="L39" s="79" t="s">
        <v>189</v>
      </c>
      <c r="M39" s="80" t="s">
        <v>82</v>
      </c>
      <c r="N39" s="80" t="s">
        <v>144</v>
      </c>
      <c r="O39" s="81" t="s">
        <v>84</v>
      </c>
      <c r="P39" s="82" t="s">
        <v>158</v>
      </c>
    </row>
    <row r="40" spans="1:16" ht="12.75" customHeight="1" thickBot="1" x14ac:dyDescent="0.25">
      <c r="A40" s="15" t="str">
        <f t="shared" si="0"/>
        <v>BAVM 173 </v>
      </c>
      <c r="B40" s="6" t="str">
        <f t="shared" si="1"/>
        <v>I</v>
      </c>
      <c r="C40" s="15">
        <f t="shared" si="2"/>
        <v>53259.552799999998</v>
      </c>
      <c r="D40" s="31" t="str">
        <f t="shared" si="3"/>
        <v>vis</v>
      </c>
      <c r="E40" s="78">
        <f>VLOOKUP(C40,Active!C$21:E$973,3,FALSE)</f>
        <v>4668.0067462578227</v>
      </c>
      <c r="F40" s="6" t="s">
        <v>77</v>
      </c>
      <c r="G40" s="31" t="str">
        <f t="shared" si="4"/>
        <v>53259.5528</v>
      </c>
      <c r="H40" s="15">
        <f t="shared" si="5"/>
        <v>2458</v>
      </c>
      <c r="I40" s="79" t="s">
        <v>190</v>
      </c>
      <c r="J40" s="80" t="s">
        <v>191</v>
      </c>
      <c r="K40" s="79" t="s">
        <v>192</v>
      </c>
      <c r="L40" s="79" t="s">
        <v>193</v>
      </c>
      <c r="M40" s="80" t="s">
        <v>82</v>
      </c>
      <c r="N40" s="80" t="s">
        <v>144</v>
      </c>
      <c r="O40" s="81" t="s">
        <v>84</v>
      </c>
      <c r="P40" s="82" t="s">
        <v>158</v>
      </c>
    </row>
    <row r="41" spans="1:16" ht="12.75" customHeight="1" thickBot="1" x14ac:dyDescent="0.25">
      <c r="A41" s="15" t="str">
        <f t="shared" si="0"/>
        <v>BAVM 178 </v>
      </c>
      <c r="B41" s="6" t="str">
        <f t="shared" si="1"/>
        <v>I</v>
      </c>
      <c r="C41" s="15">
        <f t="shared" si="2"/>
        <v>53614.504099999998</v>
      </c>
      <c r="D41" s="31" t="str">
        <f t="shared" si="3"/>
        <v>vis</v>
      </c>
      <c r="E41" s="78">
        <f>VLOOKUP(C41,Active!C$21:E$973,3,FALSE)</f>
        <v>5817.0436888175182</v>
      </c>
      <c r="F41" s="6" t="s">
        <v>77</v>
      </c>
      <c r="G41" s="31" t="str">
        <f t="shared" si="4"/>
        <v>53614.5041</v>
      </c>
      <c r="H41" s="15">
        <f t="shared" si="5"/>
        <v>3607</v>
      </c>
      <c r="I41" s="79" t="s">
        <v>194</v>
      </c>
      <c r="J41" s="80" t="s">
        <v>195</v>
      </c>
      <c r="K41" s="79" t="s">
        <v>196</v>
      </c>
      <c r="L41" s="79" t="s">
        <v>197</v>
      </c>
      <c r="M41" s="80" t="s">
        <v>198</v>
      </c>
      <c r="N41" s="80" t="s">
        <v>144</v>
      </c>
      <c r="O41" s="81" t="s">
        <v>199</v>
      </c>
      <c r="P41" s="82" t="s">
        <v>200</v>
      </c>
    </row>
    <row r="42" spans="1:16" ht="12.75" customHeight="1" thickBot="1" x14ac:dyDescent="0.25">
      <c r="A42" s="15" t="str">
        <f t="shared" si="0"/>
        <v>BAVM 178 </v>
      </c>
      <c r="B42" s="6" t="str">
        <f t="shared" si="1"/>
        <v>I</v>
      </c>
      <c r="C42" s="15">
        <f t="shared" si="2"/>
        <v>53653.421000000002</v>
      </c>
      <c r="D42" s="31" t="str">
        <f t="shared" si="3"/>
        <v>vis</v>
      </c>
      <c r="E42" s="78">
        <f>VLOOKUP(C42,Active!C$21:E$973,3,FALSE)</f>
        <v>5943.0242269643168</v>
      </c>
      <c r="F42" s="6" t="s">
        <v>77</v>
      </c>
      <c r="G42" s="31" t="str">
        <f t="shared" si="4"/>
        <v>53653.4210</v>
      </c>
      <c r="H42" s="15">
        <f t="shared" si="5"/>
        <v>3733</v>
      </c>
      <c r="I42" s="79" t="s">
        <v>201</v>
      </c>
      <c r="J42" s="80" t="s">
        <v>202</v>
      </c>
      <c r="K42" s="79" t="s">
        <v>203</v>
      </c>
      <c r="L42" s="79" t="s">
        <v>204</v>
      </c>
      <c r="M42" s="80" t="s">
        <v>198</v>
      </c>
      <c r="N42" s="80" t="s">
        <v>144</v>
      </c>
      <c r="O42" s="81" t="s">
        <v>199</v>
      </c>
      <c r="P42" s="82" t="s">
        <v>200</v>
      </c>
    </row>
    <row r="43" spans="1:16" ht="12.75" customHeight="1" thickBot="1" x14ac:dyDescent="0.25">
      <c r="A43" s="15" t="str">
        <f t="shared" ref="A43:A72" si="6">P43</f>
        <v>BAVM 178 </v>
      </c>
      <c r="B43" s="6" t="str">
        <f t="shared" ref="B43:B72" si="7">IF(H43=INT(H43),"I","II")</f>
        <v>II</v>
      </c>
      <c r="C43" s="15">
        <f t="shared" ref="C43:C72" si="8">1*G43</f>
        <v>53932.5262</v>
      </c>
      <c r="D43" s="31" t="str">
        <f t="shared" ref="D43:D72" si="9">VLOOKUP(F43,I$1:J$5,2,FALSE)</f>
        <v>vis</v>
      </c>
      <c r="E43" s="78">
        <f>VLOOKUP(C43,Active!C$21:E$973,3,FALSE)</f>
        <v>6846.5346117988265</v>
      </c>
      <c r="F43" s="6" t="s">
        <v>77</v>
      </c>
      <c r="G43" s="31" t="str">
        <f t="shared" ref="G43:G72" si="10">MID(I43,3,LEN(I43)-3)</f>
        <v>53932.5262</v>
      </c>
      <c r="H43" s="15">
        <f t="shared" ref="H43:H72" si="11">1*K43</f>
        <v>4636.5</v>
      </c>
      <c r="I43" s="79" t="s">
        <v>205</v>
      </c>
      <c r="J43" s="80" t="s">
        <v>206</v>
      </c>
      <c r="K43" s="79" t="s">
        <v>207</v>
      </c>
      <c r="L43" s="79" t="s">
        <v>208</v>
      </c>
      <c r="M43" s="80" t="s">
        <v>198</v>
      </c>
      <c r="N43" s="80" t="s">
        <v>144</v>
      </c>
      <c r="O43" s="81" t="s">
        <v>199</v>
      </c>
      <c r="P43" s="82" t="s">
        <v>200</v>
      </c>
    </row>
    <row r="44" spans="1:16" ht="12.75" customHeight="1" thickBot="1" x14ac:dyDescent="0.25">
      <c r="A44" s="15" t="str">
        <f t="shared" si="6"/>
        <v>BAVM 183 </v>
      </c>
      <c r="B44" s="6" t="str">
        <f t="shared" si="7"/>
        <v>II</v>
      </c>
      <c r="C44" s="15">
        <f t="shared" si="8"/>
        <v>54031.375800000002</v>
      </c>
      <c r="D44" s="31" t="str">
        <f t="shared" si="9"/>
        <v>vis</v>
      </c>
      <c r="E44" s="78">
        <f>VLOOKUP(C44,Active!C$21:E$973,3,FALSE)</f>
        <v>7166.5273605428101</v>
      </c>
      <c r="F44" s="6" t="s">
        <v>77</v>
      </c>
      <c r="G44" s="31" t="str">
        <f t="shared" si="10"/>
        <v>54031.3758</v>
      </c>
      <c r="H44" s="15">
        <f t="shared" si="11"/>
        <v>4956.5</v>
      </c>
      <c r="I44" s="79" t="s">
        <v>209</v>
      </c>
      <c r="J44" s="80" t="s">
        <v>210</v>
      </c>
      <c r="K44" s="79" t="s">
        <v>211</v>
      </c>
      <c r="L44" s="79" t="s">
        <v>212</v>
      </c>
      <c r="M44" s="80" t="s">
        <v>198</v>
      </c>
      <c r="N44" s="80" t="s">
        <v>144</v>
      </c>
      <c r="O44" s="81" t="s">
        <v>213</v>
      </c>
      <c r="P44" s="82" t="s">
        <v>214</v>
      </c>
    </row>
    <row r="45" spans="1:16" ht="12.75" customHeight="1" thickBot="1" x14ac:dyDescent="0.25">
      <c r="A45" s="15" t="str">
        <f t="shared" si="6"/>
        <v>BAVM 215 </v>
      </c>
      <c r="B45" s="6" t="str">
        <f t="shared" si="7"/>
        <v>II</v>
      </c>
      <c r="C45" s="15">
        <f t="shared" si="8"/>
        <v>54718.405400000003</v>
      </c>
      <c r="D45" s="31" t="str">
        <f t="shared" si="9"/>
        <v>vis</v>
      </c>
      <c r="E45" s="78">
        <f>VLOOKUP(C45,Active!C$21:E$973,3,FALSE)</f>
        <v>9390.5575050499883</v>
      </c>
      <c r="F45" s="6" t="s">
        <v>77</v>
      </c>
      <c r="G45" s="31" t="str">
        <f t="shared" si="10"/>
        <v>54718.4054</v>
      </c>
      <c r="H45" s="15">
        <f t="shared" si="11"/>
        <v>7180.5</v>
      </c>
      <c r="I45" s="79" t="s">
        <v>215</v>
      </c>
      <c r="J45" s="80" t="s">
        <v>216</v>
      </c>
      <c r="K45" s="79" t="s">
        <v>217</v>
      </c>
      <c r="L45" s="79" t="s">
        <v>218</v>
      </c>
      <c r="M45" s="80" t="s">
        <v>198</v>
      </c>
      <c r="N45" s="80" t="s">
        <v>144</v>
      </c>
      <c r="O45" s="81" t="s">
        <v>84</v>
      </c>
      <c r="P45" s="82" t="s">
        <v>219</v>
      </c>
    </row>
    <row r="46" spans="1:16" ht="12.75" customHeight="1" thickBot="1" x14ac:dyDescent="0.25">
      <c r="A46" s="15" t="str">
        <f t="shared" si="6"/>
        <v>BAVM 215 </v>
      </c>
      <c r="B46" s="6" t="str">
        <f t="shared" si="7"/>
        <v>I</v>
      </c>
      <c r="C46" s="15">
        <f t="shared" si="8"/>
        <v>54718.559500000003</v>
      </c>
      <c r="D46" s="31" t="str">
        <f t="shared" si="9"/>
        <v>vis</v>
      </c>
      <c r="E46" s="78">
        <f>VLOOKUP(C46,Active!C$21:E$973,3,FALSE)</f>
        <v>9391.0563526182268</v>
      </c>
      <c r="F46" s="6" t="s">
        <v>77</v>
      </c>
      <c r="G46" s="31" t="str">
        <f t="shared" si="10"/>
        <v>54718.5595</v>
      </c>
      <c r="H46" s="15">
        <f t="shared" si="11"/>
        <v>7181</v>
      </c>
      <c r="I46" s="79" t="s">
        <v>220</v>
      </c>
      <c r="J46" s="80" t="s">
        <v>221</v>
      </c>
      <c r="K46" s="79" t="s">
        <v>222</v>
      </c>
      <c r="L46" s="79" t="s">
        <v>223</v>
      </c>
      <c r="M46" s="80" t="s">
        <v>198</v>
      </c>
      <c r="N46" s="80" t="s">
        <v>144</v>
      </c>
      <c r="O46" s="81" t="s">
        <v>84</v>
      </c>
      <c r="P46" s="82" t="s">
        <v>219</v>
      </c>
    </row>
    <row r="47" spans="1:16" ht="12.75" customHeight="1" thickBot="1" x14ac:dyDescent="0.25">
      <c r="A47" s="15" t="str">
        <f t="shared" si="6"/>
        <v>BAVM 214 </v>
      </c>
      <c r="B47" s="6" t="str">
        <f t="shared" si="7"/>
        <v>I</v>
      </c>
      <c r="C47" s="15">
        <f t="shared" si="8"/>
        <v>55309.517399999997</v>
      </c>
      <c r="D47" s="31" t="str">
        <f t="shared" si="9"/>
        <v>vis</v>
      </c>
      <c r="E47" s="78">
        <f>VLOOKUP(C47,Active!C$21:E$973,3,FALSE)</f>
        <v>11304.086276997967</v>
      </c>
      <c r="F47" s="6" t="s">
        <v>77</v>
      </c>
      <c r="G47" s="31" t="str">
        <f t="shared" si="10"/>
        <v>55309.5174</v>
      </c>
      <c r="H47" s="15">
        <f t="shared" si="11"/>
        <v>9094</v>
      </c>
      <c r="I47" s="79" t="s">
        <v>237</v>
      </c>
      <c r="J47" s="80" t="s">
        <v>238</v>
      </c>
      <c r="K47" s="79" t="s">
        <v>239</v>
      </c>
      <c r="L47" s="79" t="s">
        <v>240</v>
      </c>
      <c r="M47" s="80" t="s">
        <v>198</v>
      </c>
      <c r="N47" s="80" t="s">
        <v>144</v>
      </c>
      <c r="O47" s="81" t="s">
        <v>84</v>
      </c>
      <c r="P47" s="82" t="s">
        <v>241</v>
      </c>
    </row>
    <row r="48" spans="1:16" ht="12.75" customHeight="1" thickBot="1" x14ac:dyDescent="0.25">
      <c r="A48" s="15" t="str">
        <f t="shared" si="6"/>
        <v>BAVM 215 </v>
      </c>
      <c r="B48" s="6" t="str">
        <f t="shared" si="7"/>
        <v>I</v>
      </c>
      <c r="C48" s="15">
        <f t="shared" si="8"/>
        <v>55463.357100000001</v>
      </c>
      <c r="D48" s="31" t="str">
        <f t="shared" si="9"/>
        <v>vis</v>
      </c>
      <c r="E48" s="78">
        <f>VLOOKUP(C48,Active!C$21:E$973,3,FALSE)</f>
        <v>11802.091210441808</v>
      </c>
      <c r="F48" s="6" t="s">
        <v>77</v>
      </c>
      <c r="G48" s="31" t="str">
        <f t="shared" si="10"/>
        <v>55463.3571</v>
      </c>
      <c r="H48" s="15">
        <f t="shared" si="11"/>
        <v>9592</v>
      </c>
      <c r="I48" s="79" t="s">
        <v>242</v>
      </c>
      <c r="J48" s="80" t="s">
        <v>243</v>
      </c>
      <c r="K48" s="79" t="s">
        <v>244</v>
      </c>
      <c r="L48" s="79" t="s">
        <v>245</v>
      </c>
      <c r="M48" s="80" t="s">
        <v>198</v>
      </c>
      <c r="N48" s="80" t="s">
        <v>144</v>
      </c>
      <c r="O48" s="81" t="s">
        <v>84</v>
      </c>
      <c r="P48" s="82" t="s">
        <v>219</v>
      </c>
    </row>
    <row r="49" spans="1:16" ht="12.75" customHeight="1" thickBot="1" x14ac:dyDescent="0.25">
      <c r="A49" s="15" t="str">
        <f t="shared" si="6"/>
        <v>BAVM 215 </v>
      </c>
      <c r="B49" s="6" t="str">
        <f t="shared" si="7"/>
        <v>II</v>
      </c>
      <c r="C49" s="15">
        <f t="shared" si="8"/>
        <v>55463.513099999996</v>
      </c>
      <c r="D49" s="31" t="str">
        <f t="shared" si="9"/>
        <v>vis</v>
      </c>
      <c r="E49" s="78">
        <f>VLOOKUP(C49,Active!C$21:E$973,3,FALSE)</f>
        <v>11802.59620862898</v>
      </c>
      <c r="F49" s="6" t="s">
        <v>77</v>
      </c>
      <c r="G49" s="31" t="str">
        <f t="shared" si="10"/>
        <v>55463.5131</v>
      </c>
      <c r="H49" s="15">
        <f t="shared" si="11"/>
        <v>9592.5</v>
      </c>
      <c r="I49" s="79" t="s">
        <v>246</v>
      </c>
      <c r="J49" s="80" t="s">
        <v>247</v>
      </c>
      <c r="K49" s="79" t="s">
        <v>248</v>
      </c>
      <c r="L49" s="79" t="s">
        <v>249</v>
      </c>
      <c r="M49" s="80" t="s">
        <v>198</v>
      </c>
      <c r="N49" s="80" t="s">
        <v>144</v>
      </c>
      <c r="O49" s="81" t="s">
        <v>84</v>
      </c>
      <c r="P49" s="82" t="s">
        <v>219</v>
      </c>
    </row>
    <row r="50" spans="1:16" ht="12.75" customHeight="1" thickBot="1" x14ac:dyDescent="0.25">
      <c r="A50" s="15" t="str">
        <f t="shared" si="6"/>
        <v>IBVS 5960 </v>
      </c>
      <c r="B50" s="6" t="str">
        <f t="shared" si="7"/>
        <v>II</v>
      </c>
      <c r="C50" s="15">
        <f t="shared" si="8"/>
        <v>55477.721100000002</v>
      </c>
      <c r="D50" s="31" t="str">
        <f t="shared" si="9"/>
        <v>vis</v>
      </c>
      <c r="E50" s="78">
        <f>VLOOKUP(C50,Active!C$21:E$973,3,FALSE)</f>
        <v>11848.589889677323</v>
      </c>
      <c r="F50" s="6" t="s">
        <v>77</v>
      </c>
      <c r="G50" s="31" t="str">
        <f t="shared" si="10"/>
        <v>55477.7211</v>
      </c>
      <c r="H50" s="15">
        <f t="shared" si="11"/>
        <v>9638.5</v>
      </c>
      <c r="I50" s="79" t="s">
        <v>250</v>
      </c>
      <c r="J50" s="80" t="s">
        <v>251</v>
      </c>
      <c r="K50" s="79" t="s">
        <v>252</v>
      </c>
      <c r="L50" s="79" t="s">
        <v>253</v>
      </c>
      <c r="M50" s="80" t="s">
        <v>198</v>
      </c>
      <c r="N50" s="80" t="s">
        <v>77</v>
      </c>
      <c r="O50" s="81" t="s">
        <v>254</v>
      </c>
      <c r="P50" s="82" t="s">
        <v>255</v>
      </c>
    </row>
    <row r="51" spans="1:16" ht="12.75" customHeight="1" thickBot="1" x14ac:dyDescent="0.25">
      <c r="A51" s="15" t="str">
        <f t="shared" si="6"/>
        <v>BAVM 231 </v>
      </c>
      <c r="B51" s="6" t="str">
        <f t="shared" si="7"/>
        <v>I</v>
      </c>
      <c r="C51" s="15">
        <f t="shared" si="8"/>
        <v>56187.461900000002</v>
      </c>
      <c r="D51" s="31" t="str">
        <f t="shared" si="9"/>
        <v>vis</v>
      </c>
      <c r="E51" s="78">
        <f>VLOOKUP(C51,Active!C$21:E$973,3,FALSE)</f>
        <v>14146.140001035896</v>
      </c>
      <c r="F51" s="6" t="s">
        <v>77</v>
      </c>
      <c r="G51" s="31" t="str">
        <f t="shared" si="10"/>
        <v>56187.4619</v>
      </c>
      <c r="H51" s="15">
        <f t="shared" si="11"/>
        <v>11936</v>
      </c>
      <c r="I51" s="79" t="s">
        <v>281</v>
      </c>
      <c r="J51" s="80" t="s">
        <v>282</v>
      </c>
      <c r="K51" s="79" t="s">
        <v>283</v>
      </c>
      <c r="L51" s="79" t="s">
        <v>276</v>
      </c>
      <c r="M51" s="80" t="s">
        <v>198</v>
      </c>
      <c r="N51" s="80" t="s">
        <v>144</v>
      </c>
      <c r="O51" s="81" t="s">
        <v>84</v>
      </c>
      <c r="P51" s="82" t="s">
        <v>284</v>
      </c>
    </row>
    <row r="52" spans="1:16" ht="12.75" customHeight="1" thickBot="1" x14ac:dyDescent="0.25">
      <c r="A52" s="15" t="str">
        <f t="shared" si="6"/>
        <v>BAVM 231 </v>
      </c>
      <c r="B52" s="6" t="str">
        <f t="shared" si="7"/>
        <v>II</v>
      </c>
      <c r="C52" s="15">
        <f t="shared" si="8"/>
        <v>56187.613499999999</v>
      </c>
      <c r="D52" s="31" t="str">
        <f t="shared" si="9"/>
        <v>vis</v>
      </c>
      <c r="E52" s="78">
        <f>VLOOKUP(C52,Active!C$21:E$973,3,FALSE)</f>
        <v>14146.63075568446</v>
      </c>
      <c r="F52" s="6" t="s">
        <v>77</v>
      </c>
      <c r="G52" s="31" t="str">
        <f t="shared" si="10"/>
        <v>56187.6135</v>
      </c>
      <c r="H52" s="15">
        <f t="shared" si="11"/>
        <v>11936.5</v>
      </c>
      <c r="I52" s="79" t="s">
        <v>285</v>
      </c>
      <c r="J52" s="80" t="s">
        <v>286</v>
      </c>
      <c r="K52" s="79" t="s">
        <v>287</v>
      </c>
      <c r="L52" s="79" t="s">
        <v>259</v>
      </c>
      <c r="M52" s="80" t="s">
        <v>198</v>
      </c>
      <c r="N52" s="80" t="s">
        <v>144</v>
      </c>
      <c r="O52" s="81" t="s">
        <v>84</v>
      </c>
      <c r="P52" s="82" t="s">
        <v>284</v>
      </c>
    </row>
    <row r="53" spans="1:16" ht="12.75" customHeight="1" thickBot="1" x14ac:dyDescent="0.25">
      <c r="A53" s="15" t="str">
        <f t="shared" si="6"/>
        <v>BAVM 234 </v>
      </c>
      <c r="B53" s="6" t="str">
        <f t="shared" si="7"/>
        <v>I</v>
      </c>
      <c r="C53" s="15">
        <f t="shared" si="8"/>
        <v>56590.2932</v>
      </c>
      <c r="D53" s="31" t="str">
        <f t="shared" si="9"/>
        <v>vis</v>
      </c>
      <c r="E53" s="78">
        <f>VLOOKUP(C53,Active!C$21:E$973,3,FALSE)</f>
        <v>15450.172541047285</v>
      </c>
      <c r="F53" s="6" t="s">
        <v>77</v>
      </c>
      <c r="G53" s="31" t="str">
        <f t="shared" si="10"/>
        <v>56590.2932</v>
      </c>
      <c r="H53" s="15">
        <f t="shared" si="11"/>
        <v>13240</v>
      </c>
      <c r="I53" s="79" t="s">
        <v>288</v>
      </c>
      <c r="J53" s="80" t="s">
        <v>289</v>
      </c>
      <c r="K53" s="79" t="s">
        <v>290</v>
      </c>
      <c r="L53" s="79" t="s">
        <v>291</v>
      </c>
      <c r="M53" s="80" t="s">
        <v>198</v>
      </c>
      <c r="N53" s="80" t="s">
        <v>144</v>
      </c>
      <c r="O53" s="81" t="s">
        <v>84</v>
      </c>
      <c r="P53" s="82" t="s">
        <v>292</v>
      </c>
    </row>
    <row r="54" spans="1:16" ht="12.75" customHeight="1" thickBot="1" x14ac:dyDescent="0.25">
      <c r="A54" s="15" t="str">
        <f t="shared" si="6"/>
        <v>BAVM 234 </v>
      </c>
      <c r="B54" s="6" t="str">
        <f t="shared" si="7"/>
        <v>II</v>
      </c>
      <c r="C54" s="15">
        <f t="shared" si="8"/>
        <v>56590.446000000004</v>
      </c>
      <c r="D54" s="31" t="str">
        <f t="shared" si="9"/>
        <v>vis</v>
      </c>
      <c r="E54" s="78">
        <f>VLOOKUP(C54,Active!C$21:E$973,3,FALSE)</f>
        <v>15450.667180297309</v>
      </c>
      <c r="F54" s="6" t="s">
        <v>77</v>
      </c>
      <c r="G54" s="31" t="str">
        <f t="shared" si="10"/>
        <v>56590.446</v>
      </c>
      <c r="H54" s="15">
        <f t="shared" si="11"/>
        <v>13240.5</v>
      </c>
      <c r="I54" s="79" t="s">
        <v>293</v>
      </c>
      <c r="J54" s="80" t="s">
        <v>294</v>
      </c>
      <c r="K54" s="79" t="s">
        <v>295</v>
      </c>
      <c r="L54" s="79" t="s">
        <v>296</v>
      </c>
      <c r="M54" s="80" t="s">
        <v>198</v>
      </c>
      <c r="N54" s="80" t="s">
        <v>144</v>
      </c>
      <c r="O54" s="81" t="s">
        <v>84</v>
      </c>
      <c r="P54" s="82" t="s">
        <v>292</v>
      </c>
    </row>
    <row r="55" spans="1:16" ht="12.75" customHeight="1" thickBot="1" x14ac:dyDescent="0.25">
      <c r="A55" s="15" t="str">
        <f t="shared" si="6"/>
        <v>BAVM 234 </v>
      </c>
      <c r="B55" s="6" t="str">
        <f t="shared" si="7"/>
        <v>II</v>
      </c>
      <c r="C55" s="15">
        <f t="shared" si="8"/>
        <v>56592.3027</v>
      </c>
      <c r="D55" s="31" t="str">
        <f t="shared" si="9"/>
        <v>vis</v>
      </c>
      <c r="E55" s="78">
        <f>VLOOKUP(C55,Active!C$21:E$973,3,FALSE)</f>
        <v>15456.677629875172</v>
      </c>
      <c r="F55" s="6" t="s">
        <v>77</v>
      </c>
      <c r="G55" s="31" t="str">
        <f t="shared" si="10"/>
        <v>56592.3027</v>
      </c>
      <c r="H55" s="15">
        <f t="shared" si="11"/>
        <v>13246.5</v>
      </c>
      <c r="I55" s="79" t="s">
        <v>297</v>
      </c>
      <c r="J55" s="80" t="s">
        <v>298</v>
      </c>
      <c r="K55" s="79" t="s">
        <v>299</v>
      </c>
      <c r="L55" s="79" t="s">
        <v>280</v>
      </c>
      <c r="M55" s="80" t="s">
        <v>198</v>
      </c>
      <c r="N55" s="80" t="s">
        <v>144</v>
      </c>
      <c r="O55" s="81" t="s">
        <v>84</v>
      </c>
      <c r="P55" s="82" t="s">
        <v>292</v>
      </c>
    </row>
    <row r="56" spans="1:16" ht="12.75" customHeight="1" thickBot="1" x14ac:dyDescent="0.25">
      <c r="A56" s="15" t="str">
        <f t="shared" si="6"/>
        <v>BAVM 234 </v>
      </c>
      <c r="B56" s="6" t="str">
        <f t="shared" si="7"/>
        <v>I</v>
      </c>
      <c r="C56" s="15">
        <f t="shared" si="8"/>
        <v>56592.455900000001</v>
      </c>
      <c r="D56" s="31" t="str">
        <f t="shared" si="9"/>
        <v>vis</v>
      </c>
      <c r="E56" s="78">
        <f>VLOOKUP(C56,Active!C$21:E$973,3,FALSE)</f>
        <v>15457.173563992334</v>
      </c>
      <c r="F56" s="6" t="s">
        <v>77</v>
      </c>
      <c r="G56" s="31" t="str">
        <f t="shared" si="10"/>
        <v>56592.4559</v>
      </c>
      <c r="H56" s="15">
        <f t="shared" si="11"/>
        <v>13247</v>
      </c>
      <c r="I56" s="79" t="s">
        <v>300</v>
      </c>
      <c r="J56" s="80" t="s">
        <v>301</v>
      </c>
      <c r="K56" s="79" t="s">
        <v>302</v>
      </c>
      <c r="L56" s="79" t="s">
        <v>303</v>
      </c>
      <c r="M56" s="80" t="s">
        <v>198</v>
      </c>
      <c r="N56" s="80" t="s">
        <v>144</v>
      </c>
      <c r="O56" s="81" t="s">
        <v>84</v>
      </c>
      <c r="P56" s="82" t="s">
        <v>292</v>
      </c>
    </row>
    <row r="57" spans="1:16" ht="12.75" customHeight="1" thickBot="1" x14ac:dyDescent="0.25">
      <c r="A57" s="15" t="str">
        <f t="shared" si="6"/>
        <v>BAVM 234 </v>
      </c>
      <c r="B57" s="6" t="str">
        <f t="shared" si="7"/>
        <v>II</v>
      </c>
      <c r="C57" s="15">
        <f t="shared" si="8"/>
        <v>56600.332699999999</v>
      </c>
      <c r="D57" s="31" t="str">
        <f t="shared" si="9"/>
        <v>vis</v>
      </c>
      <c r="E57" s="78">
        <f>VLOOKUP(C57,Active!C$21:E$973,3,FALSE)</f>
        <v>15482.672087843779</v>
      </c>
      <c r="F57" s="6" t="s">
        <v>77</v>
      </c>
      <c r="G57" s="31" t="str">
        <f t="shared" si="10"/>
        <v>56600.3327</v>
      </c>
      <c r="H57" s="15">
        <f t="shared" si="11"/>
        <v>13272.5</v>
      </c>
      <c r="I57" s="79" t="s">
        <v>304</v>
      </c>
      <c r="J57" s="80" t="s">
        <v>305</v>
      </c>
      <c r="K57" s="79" t="s">
        <v>306</v>
      </c>
      <c r="L57" s="79" t="s">
        <v>307</v>
      </c>
      <c r="M57" s="80" t="s">
        <v>198</v>
      </c>
      <c r="N57" s="80" t="s">
        <v>144</v>
      </c>
      <c r="O57" s="81" t="s">
        <v>84</v>
      </c>
      <c r="P57" s="82" t="s">
        <v>292</v>
      </c>
    </row>
    <row r="58" spans="1:16" ht="12.75" customHeight="1" thickBot="1" x14ac:dyDescent="0.25">
      <c r="A58" s="15" t="str">
        <f t="shared" si="6"/>
        <v>BAVM 234 </v>
      </c>
      <c r="B58" s="6" t="str">
        <f t="shared" si="7"/>
        <v>I</v>
      </c>
      <c r="C58" s="15">
        <f t="shared" si="8"/>
        <v>56600.487000000001</v>
      </c>
      <c r="D58" s="31" t="str">
        <f t="shared" si="9"/>
        <v>vis</v>
      </c>
      <c r="E58" s="78">
        <f>VLOOKUP(C58,Active!C$21:E$973,3,FALSE)</f>
        <v>15483.1715828456</v>
      </c>
      <c r="F58" s="6" t="s">
        <v>77</v>
      </c>
      <c r="G58" s="31" t="str">
        <f t="shared" si="10"/>
        <v>56600.487</v>
      </c>
      <c r="H58" s="15">
        <f t="shared" si="11"/>
        <v>13273</v>
      </c>
      <c r="I58" s="79" t="s">
        <v>308</v>
      </c>
      <c r="J58" s="80" t="s">
        <v>309</v>
      </c>
      <c r="K58" s="79" t="s">
        <v>310</v>
      </c>
      <c r="L58" s="79" t="s">
        <v>311</v>
      </c>
      <c r="M58" s="80" t="s">
        <v>198</v>
      </c>
      <c r="N58" s="80" t="s">
        <v>144</v>
      </c>
      <c r="O58" s="81" t="s">
        <v>84</v>
      </c>
      <c r="P58" s="82" t="s">
        <v>292</v>
      </c>
    </row>
    <row r="59" spans="1:16" ht="12.75" customHeight="1" thickBot="1" x14ac:dyDescent="0.25">
      <c r="A59" s="15" t="str">
        <f t="shared" si="6"/>
        <v>BAVM 239 </v>
      </c>
      <c r="B59" s="6" t="str">
        <f t="shared" si="7"/>
        <v>II</v>
      </c>
      <c r="C59" s="15">
        <f t="shared" si="8"/>
        <v>56934.273500000003</v>
      </c>
      <c r="D59" s="31" t="str">
        <f t="shared" si="9"/>
        <v>vis</v>
      </c>
      <c r="E59" s="78">
        <f>VLOOKUP(C59,Active!C$21:E$973,3,FALSE)</f>
        <v>16563.694514942774</v>
      </c>
      <c r="F59" s="6" t="s">
        <v>77</v>
      </c>
      <c r="G59" s="31" t="str">
        <f t="shared" si="10"/>
        <v>56934.2735</v>
      </c>
      <c r="H59" s="15">
        <f t="shared" si="11"/>
        <v>14353.5</v>
      </c>
      <c r="I59" s="79" t="s">
        <v>312</v>
      </c>
      <c r="J59" s="80" t="s">
        <v>313</v>
      </c>
      <c r="K59" s="79" t="s">
        <v>314</v>
      </c>
      <c r="L59" s="79" t="s">
        <v>315</v>
      </c>
      <c r="M59" s="80" t="s">
        <v>198</v>
      </c>
      <c r="N59" s="80" t="s">
        <v>144</v>
      </c>
      <c r="O59" s="81" t="s">
        <v>84</v>
      </c>
      <c r="P59" s="82" t="s">
        <v>316</v>
      </c>
    </row>
    <row r="60" spans="1:16" ht="12.75" customHeight="1" thickBot="1" x14ac:dyDescent="0.25">
      <c r="A60" s="15" t="str">
        <f t="shared" si="6"/>
        <v>BAVM 239 </v>
      </c>
      <c r="B60" s="6" t="str">
        <f t="shared" si="7"/>
        <v>I</v>
      </c>
      <c r="C60" s="15">
        <f t="shared" si="8"/>
        <v>56934.428699999997</v>
      </c>
      <c r="D60" s="31" t="str">
        <f t="shared" si="9"/>
        <v>vis</v>
      </c>
      <c r="E60" s="78">
        <f>VLOOKUP(C60,Active!C$21:E$973,3,FALSE)</f>
        <v>16564.196923395644</v>
      </c>
      <c r="F60" s="6" t="s">
        <v>77</v>
      </c>
      <c r="G60" s="31" t="str">
        <f t="shared" si="10"/>
        <v>56934.4287</v>
      </c>
      <c r="H60" s="15">
        <f t="shared" si="11"/>
        <v>14354</v>
      </c>
      <c r="I60" s="79" t="s">
        <v>317</v>
      </c>
      <c r="J60" s="80" t="s">
        <v>318</v>
      </c>
      <c r="K60" s="79" t="s">
        <v>319</v>
      </c>
      <c r="L60" s="79" t="s">
        <v>320</v>
      </c>
      <c r="M60" s="80" t="s">
        <v>198</v>
      </c>
      <c r="N60" s="80" t="s">
        <v>144</v>
      </c>
      <c r="O60" s="81" t="s">
        <v>84</v>
      </c>
      <c r="P60" s="82" t="s">
        <v>316</v>
      </c>
    </row>
    <row r="61" spans="1:16" ht="12.75" customHeight="1" thickBot="1" x14ac:dyDescent="0.25">
      <c r="A61" s="15" t="str">
        <f t="shared" si="6"/>
        <v>BAVM 239 </v>
      </c>
      <c r="B61" s="6" t="str">
        <f t="shared" si="7"/>
        <v>II</v>
      </c>
      <c r="C61" s="15">
        <f t="shared" si="8"/>
        <v>56934.583299999998</v>
      </c>
      <c r="D61" s="31" t="str">
        <f t="shared" si="9"/>
        <v>vis</v>
      </c>
      <c r="E61" s="78">
        <f>VLOOKUP(C61,Active!C$21:E$973,3,FALSE)</f>
        <v>16564.697389547822</v>
      </c>
      <c r="F61" s="6" t="s">
        <v>77</v>
      </c>
      <c r="G61" s="31" t="str">
        <f t="shared" si="10"/>
        <v>56934.5833</v>
      </c>
      <c r="H61" s="15">
        <f t="shared" si="11"/>
        <v>14354.5</v>
      </c>
      <c r="I61" s="79" t="s">
        <v>321</v>
      </c>
      <c r="J61" s="80" t="s">
        <v>322</v>
      </c>
      <c r="K61" s="79" t="s">
        <v>323</v>
      </c>
      <c r="L61" s="79" t="s">
        <v>324</v>
      </c>
      <c r="M61" s="80" t="s">
        <v>198</v>
      </c>
      <c r="N61" s="80" t="s">
        <v>144</v>
      </c>
      <c r="O61" s="81" t="s">
        <v>84</v>
      </c>
      <c r="P61" s="82" t="s">
        <v>316</v>
      </c>
    </row>
    <row r="62" spans="1:16" ht="12.75" customHeight="1" thickBot="1" x14ac:dyDescent="0.25">
      <c r="A62" s="15" t="str">
        <f t="shared" si="6"/>
        <v>BAVM 135 </v>
      </c>
      <c r="B62" s="6" t="str">
        <f t="shared" si="7"/>
        <v>I</v>
      </c>
      <c r="C62" s="15">
        <f t="shared" si="8"/>
        <v>51816.313999999998</v>
      </c>
      <c r="D62" s="31" t="str">
        <f t="shared" si="9"/>
        <v>vis</v>
      </c>
      <c r="E62" s="78">
        <f>VLOOKUP(C62,Active!C$21:E$973,3,FALSE)</f>
        <v>-3.9995208991638487</v>
      </c>
      <c r="F62" s="6" t="s">
        <v>77</v>
      </c>
      <c r="G62" s="31" t="str">
        <f t="shared" si="10"/>
        <v>51816.314</v>
      </c>
      <c r="H62" s="15">
        <f t="shared" si="11"/>
        <v>-2214</v>
      </c>
      <c r="I62" s="79" t="s">
        <v>89</v>
      </c>
      <c r="J62" s="80" t="s">
        <v>90</v>
      </c>
      <c r="K62" s="79">
        <v>-2214</v>
      </c>
      <c r="L62" s="79" t="s">
        <v>91</v>
      </c>
      <c r="M62" s="80" t="s">
        <v>82</v>
      </c>
      <c r="N62" s="80" t="s">
        <v>83</v>
      </c>
      <c r="O62" s="81" t="s">
        <v>84</v>
      </c>
      <c r="P62" s="82" t="s">
        <v>85</v>
      </c>
    </row>
    <row r="63" spans="1:16" ht="12.75" customHeight="1" thickBot="1" x14ac:dyDescent="0.25">
      <c r="A63" s="15" t="str">
        <f t="shared" si="6"/>
        <v>BAVM 135 </v>
      </c>
      <c r="B63" s="6" t="str">
        <f t="shared" si="7"/>
        <v>II</v>
      </c>
      <c r="C63" s="15">
        <f t="shared" si="8"/>
        <v>51890.288999999997</v>
      </c>
      <c r="D63" s="31" t="str">
        <f t="shared" si="9"/>
        <v>vis</v>
      </c>
      <c r="E63" s="78">
        <f>VLOOKUP(C63,Active!C$21:E$973,3,FALSE)</f>
        <v>235.46997203085681</v>
      </c>
      <c r="F63" s="6" t="s">
        <v>77</v>
      </c>
      <c r="G63" s="31" t="str">
        <f t="shared" si="10"/>
        <v>51890.289</v>
      </c>
      <c r="H63" s="15">
        <f t="shared" si="11"/>
        <v>-1974.5</v>
      </c>
      <c r="I63" s="79" t="s">
        <v>110</v>
      </c>
      <c r="J63" s="80" t="s">
        <v>111</v>
      </c>
      <c r="K63" s="79">
        <v>-1974.5</v>
      </c>
      <c r="L63" s="79" t="s">
        <v>112</v>
      </c>
      <c r="M63" s="80" t="s">
        <v>82</v>
      </c>
      <c r="N63" s="80" t="s">
        <v>83</v>
      </c>
      <c r="O63" s="81" t="s">
        <v>84</v>
      </c>
      <c r="P63" s="82" t="s">
        <v>85</v>
      </c>
    </row>
    <row r="64" spans="1:16" ht="12.75" customHeight="1" thickBot="1" x14ac:dyDescent="0.25">
      <c r="A64" s="15" t="str">
        <f t="shared" si="6"/>
        <v>BAVM 212 </v>
      </c>
      <c r="B64" s="6" t="str">
        <f t="shared" si="7"/>
        <v>II</v>
      </c>
      <c r="C64" s="15">
        <f t="shared" si="8"/>
        <v>55058.523699999998</v>
      </c>
      <c r="D64" s="31" t="str">
        <f t="shared" si="9"/>
        <v>vis</v>
      </c>
      <c r="E64" s="78">
        <f>VLOOKUP(C64,Active!C$21:E$973,3,FALSE)</f>
        <v>10491.577536644729</v>
      </c>
      <c r="F64" s="6" t="s">
        <v>77</v>
      </c>
      <c r="G64" s="31" t="str">
        <f t="shared" si="10"/>
        <v>55058.5237</v>
      </c>
      <c r="H64" s="15">
        <f t="shared" si="11"/>
        <v>8281.5</v>
      </c>
      <c r="I64" s="79" t="s">
        <v>224</v>
      </c>
      <c r="J64" s="80" t="s">
        <v>225</v>
      </c>
      <c r="K64" s="79" t="s">
        <v>226</v>
      </c>
      <c r="L64" s="79" t="s">
        <v>227</v>
      </c>
      <c r="M64" s="80" t="s">
        <v>198</v>
      </c>
      <c r="N64" s="80" t="s">
        <v>144</v>
      </c>
      <c r="O64" s="81" t="s">
        <v>84</v>
      </c>
      <c r="P64" s="82" t="s">
        <v>228</v>
      </c>
    </row>
    <row r="65" spans="1:16" ht="12.75" customHeight="1" thickBot="1" x14ac:dyDescent="0.25">
      <c r="A65" s="15" t="str">
        <f t="shared" si="6"/>
        <v>BAVM 212 </v>
      </c>
      <c r="B65" s="6" t="str">
        <f t="shared" si="7"/>
        <v>I</v>
      </c>
      <c r="C65" s="15">
        <f t="shared" si="8"/>
        <v>55062.382100000003</v>
      </c>
      <c r="D65" s="31" t="str">
        <f t="shared" si="9"/>
        <v>vis</v>
      </c>
      <c r="E65" s="78">
        <f>VLOOKUP(C65,Active!C$21:E$973,3,FALSE)</f>
        <v>10504.067825141145</v>
      </c>
      <c r="F65" s="6" t="s">
        <v>77</v>
      </c>
      <c r="G65" s="31" t="str">
        <f t="shared" si="10"/>
        <v>55062.3821</v>
      </c>
      <c r="H65" s="15">
        <f t="shared" si="11"/>
        <v>8294</v>
      </c>
      <c r="I65" s="79" t="s">
        <v>229</v>
      </c>
      <c r="J65" s="80" t="s">
        <v>230</v>
      </c>
      <c r="K65" s="79" t="s">
        <v>231</v>
      </c>
      <c r="L65" s="79" t="s">
        <v>232</v>
      </c>
      <c r="M65" s="80" t="s">
        <v>198</v>
      </c>
      <c r="N65" s="80" t="s">
        <v>144</v>
      </c>
      <c r="O65" s="81" t="s">
        <v>84</v>
      </c>
      <c r="P65" s="82" t="s">
        <v>228</v>
      </c>
    </row>
    <row r="66" spans="1:16" ht="12.75" customHeight="1" thickBot="1" x14ac:dyDescent="0.25">
      <c r="A66" s="15" t="str">
        <f t="shared" si="6"/>
        <v>BAVM 212 </v>
      </c>
      <c r="B66" s="6" t="str">
        <f t="shared" si="7"/>
        <v>II</v>
      </c>
      <c r="C66" s="15">
        <f t="shared" si="8"/>
        <v>55062.537900000003</v>
      </c>
      <c r="D66" s="31" t="str">
        <f t="shared" si="9"/>
        <v>vis</v>
      </c>
      <c r="E66" s="78">
        <f>VLOOKUP(C66,Active!C$21:E$973,3,FALSE)</f>
        <v>10504.572175894758</v>
      </c>
      <c r="F66" s="6" t="s">
        <v>77</v>
      </c>
      <c r="G66" s="31" t="str">
        <f t="shared" si="10"/>
        <v>55062.5379</v>
      </c>
      <c r="H66" s="15">
        <f t="shared" si="11"/>
        <v>8294.5</v>
      </c>
      <c r="I66" s="79" t="s">
        <v>233</v>
      </c>
      <c r="J66" s="80" t="s">
        <v>234</v>
      </c>
      <c r="K66" s="79" t="s">
        <v>235</v>
      </c>
      <c r="L66" s="79" t="s">
        <v>236</v>
      </c>
      <c r="M66" s="80" t="s">
        <v>198</v>
      </c>
      <c r="N66" s="80" t="s">
        <v>144</v>
      </c>
      <c r="O66" s="81" t="s">
        <v>84</v>
      </c>
      <c r="P66" s="82" t="s">
        <v>228</v>
      </c>
    </row>
    <row r="67" spans="1:16" ht="12.75" customHeight="1" thickBot="1" x14ac:dyDescent="0.25">
      <c r="A67" s="15" t="str">
        <f t="shared" si="6"/>
        <v>BAVM 225 </v>
      </c>
      <c r="B67" s="6" t="str">
        <f t="shared" si="7"/>
        <v>II</v>
      </c>
      <c r="C67" s="15">
        <f t="shared" si="8"/>
        <v>55806.406999999999</v>
      </c>
      <c r="D67" s="31" t="str">
        <f t="shared" si="9"/>
        <v>vis</v>
      </c>
      <c r="E67" s="78">
        <f>VLOOKUP(C67,Active!C$21:E$973,3,FALSE)</f>
        <v>12912.601323354218</v>
      </c>
      <c r="F67" s="6" t="s">
        <v>77</v>
      </c>
      <c r="G67" s="31" t="str">
        <f t="shared" si="10"/>
        <v>55806.4070</v>
      </c>
      <c r="H67" s="15">
        <f t="shared" si="11"/>
        <v>10702.5</v>
      </c>
      <c r="I67" s="79" t="s">
        <v>256</v>
      </c>
      <c r="J67" s="80" t="s">
        <v>257</v>
      </c>
      <c r="K67" s="79" t="s">
        <v>258</v>
      </c>
      <c r="L67" s="79" t="s">
        <v>259</v>
      </c>
      <c r="M67" s="80" t="s">
        <v>198</v>
      </c>
      <c r="N67" s="80" t="s">
        <v>144</v>
      </c>
      <c r="O67" s="81" t="s">
        <v>84</v>
      </c>
      <c r="P67" s="82" t="s">
        <v>260</v>
      </c>
    </row>
    <row r="68" spans="1:16" ht="12.75" customHeight="1" thickBot="1" x14ac:dyDescent="0.25">
      <c r="A68" s="15" t="str">
        <f t="shared" si="6"/>
        <v>BAVM 225 </v>
      </c>
      <c r="B68" s="6" t="str">
        <f t="shared" si="7"/>
        <v>I</v>
      </c>
      <c r="C68" s="15">
        <f t="shared" si="8"/>
        <v>55806.5648</v>
      </c>
      <c r="D68" s="31" t="str">
        <f t="shared" si="9"/>
        <v>vis</v>
      </c>
      <c r="E68" s="78">
        <f>VLOOKUP(C68,Active!C$21:E$973,3,FALSE)</f>
        <v>12913.112148443566</v>
      </c>
      <c r="F68" s="6" t="s">
        <v>77</v>
      </c>
      <c r="G68" s="31" t="str">
        <f t="shared" si="10"/>
        <v>55806.5648</v>
      </c>
      <c r="H68" s="15">
        <f t="shared" si="11"/>
        <v>10703</v>
      </c>
      <c r="I68" s="79" t="s">
        <v>261</v>
      </c>
      <c r="J68" s="80" t="s">
        <v>262</v>
      </c>
      <c r="K68" s="79" t="s">
        <v>263</v>
      </c>
      <c r="L68" s="79" t="s">
        <v>264</v>
      </c>
      <c r="M68" s="80" t="s">
        <v>198</v>
      </c>
      <c r="N68" s="80" t="s">
        <v>144</v>
      </c>
      <c r="O68" s="81" t="s">
        <v>84</v>
      </c>
      <c r="P68" s="82" t="s">
        <v>260</v>
      </c>
    </row>
    <row r="69" spans="1:16" ht="12.75" customHeight="1" thickBot="1" x14ac:dyDescent="0.25">
      <c r="A69" s="15" t="str">
        <f t="shared" si="6"/>
        <v>BAVM 225 </v>
      </c>
      <c r="B69" s="6" t="str">
        <f t="shared" si="7"/>
        <v>I</v>
      </c>
      <c r="C69" s="15">
        <f t="shared" si="8"/>
        <v>55808.418599999997</v>
      </c>
      <c r="D69" s="31" t="str">
        <f t="shared" si="9"/>
        <v>vis</v>
      </c>
      <c r="E69" s="78">
        <f>VLOOKUP(C69,Active!C$21:E$973,3,FALSE)</f>
        <v>12919.113210234616</v>
      </c>
      <c r="F69" s="6" t="s">
        <v>77</v>
      </c>
      <c r="G69" s="31" t="str">
        <f t="shared" si="10"/>
        <v>55808.4186</v>
      </c>
      <c r="H69" s="15">
        <f t="shared" si="11"/>
        <v>10709</v>
      </c>
      <c r="I69" s="79" t="s">
        <v>265</v>
      </c>
      <c r="J69" s="80" t="s">
        <v>266</v>
      </c>
      <c r="K69" s="79" t="s">
        <v>267</v>
      </c>
      <c r="L69" s="79" t="s">
        <v>268</v>
      </c>
      <c r="M69" s="80" t="s">
        <v>198</v>
      </c>
      <c r="N69" s="80" t="s">
        <v>144</v>
      </c>
      <c r="O69" s="81" t="s">
        <v>84</v>
      </c>
      <c r="P69" s="82" t="s">
        <v>260</v>
      </c>
    </row>
    <row r="70" spans="1:16" ht="12.75" customHeight="1" thickBot="1" x14ac:dyDescent="0.25">
      <c r="A70" s="15" t="str">
        <f t="shared" si="6"/>
        <v>BAVM 225 </v>
      </c>
      <c r="B70" s="6" t="str">
        <f t="shared" si="7"/>
        <v>I</v>
      </c>
      <c r="C70" s="15">
        <f t="shared" si="8"/>
        <v>55839.312100000003</v>
      </c>
      <c r="D70" s="31" t="str">
        <f t="shared" si="9"/>
        <v>vis</v>
      </c>
      <c r="E70" s="78">
        <f>VLOOKUP(C70,Active!C$21:E$973,3,FALSE)</f>
        <v>13019.120655720728</v>
      </c>
      <c r="F70" s="6" t="s">
        <v>77</v>
      </c>
      <c r="G70" s="31" t="str">
        <f t="shared" si="10"/>
        <v>55839.3121</v>
      </c>
      <c r="H70" s="15">
        <f t="shared" si="11"/>
        <v>10809</v>
      </c>
      <c r="I70" s="79" t="s">
        <v>269</v>
      </c>
      <c r="J70" s="80" t="s">
        <v>270</v>
      </c>
      <c r="K70" s="79" t="s">
        <v>271</v>
      </c>
      <c r="L70" s="79" t="s">
        <v>272</v>
      </c>
      <c r="M70" s="80" t="s">
        <v>198</v>
      </c>
      <c r="N70" s="80" t="s">
        <v>144</v>
      </c>
      <c r="O70" s="81" t="s">
        <v>84</v>
      </c>
      <c r="P70" s="82" t="s">
        <v>260</v>
      </c>
    </row>
    <row r="71" spans="1:16" ht="12.75" customHeight="1" thickBot="1" x14ac:dyDescent="0.25">
      <c r="A71" s="15" t="str">
        <f t="shared" si="6"/>
        <v>BAVM 225 </v>
      </c>
      <c r="B71" s="6" t="str">
        <f t="shared" si="7"/>
        <v>II</v>
      </c>
      <c r="C71" s="15">
        <f t="shared" si="8"/>
        <v>55839.464200000002</v>
      </c>
      <c r="D71" s="31" t="str">
        <f t="shared" si="9"/>
        <v>vis</v>
      </c>
      <c r="E71" s="78">
        <f>VLOOKUP(C71,Active!C$21:E$973,3,FALSE)</f>
        <v>13019.613028953232</v>
      </c>
      <c r="F71" s="6" t="s">
        <v>77</v>
      </c>
      <c r="G71" s="31" t="str">
        <f t="shared" si="10"/>
        <v>55839.4642</v>
      </c>
      <c r="H71" s="15">
        <f t="shared" si="11"/>
        <v>10809.5</v>
      </c>
      <c r="I71" s="79" t="s">
        <v>273</v>
      </c>
      <c r="J71" s="80" t="s">
        <v>274</v>
      </c>
      <c r="K71" s="79" t="s">
        <v>275</v>
      </c>
      <c r="L71" s="79" t="s">
        <v>276</v>
      </c>
      <c r="M71" s="80" t="s">
        <v>198</v>
      </c>
      <c r="N71" s="80" t="s">
        <v>144</v>
      </c>
      <c r="O71" s="81" t="s">
        <v>84</v>
      </c>
      <c r="P71" s="82" t="s">
        <v>260</v>
      </c>
    </row>
    <row r="72" spans="1:16" ht="12.75" customHeight="1" thickBot="1" x14ac:dyDescent="0.25">
      <c r="A72" s="15" t="str">
        <f t="shared" si="6"/>
        <v>BAVM 225 </v>
      </c>
      <c r="B72" s="6" t="str">
        <f t="shared" si="7"/>
        <v>I</v>
      </c>
      <c r="C72" s="15">
        <f t="shared" si="8"/>
        <v>55873.292800000003</v>
      </c>
      <c r="D72" s="31" t="str">
        <f t="shared" si="9"/>
        <v>vis</v>
      </c>
      <c r="E72" s="78">
        <f>VLOOKUP(C72,Active!C$21:E$973,3,FALSE)</f>
        <v>13129.121885844517</v>
      </c>
      <c r="F72" s="6" t="s">
        <v>77</v>
      </c>
      <c r="G72" s="31" t="str">
        <f t="shared" si="10"/>
        <v>55873.2928</v>
      </c>
      <c r="H72" s="15">
        <f t="shared" si="11"/>
        <v>10919</v>
      </c>
      <c r="I72" s="79" t="s">
        <v>277</v>
      </c>
      <c r="J72" s="80" t="s">
        <v>278</v>
      </c>
      <c r="K72" s="79" t="s">
        <v>279</v>
      </c>
      <c r="L72" s="79" t="s">
        <v>280</v>
      </c>
      <c r="M72" s="80" t="s">
        <v>198</v>
      </c>
      <c r="N72" s="80" t="s">
        <v>144</v>
      </c>
      <c r="O72" s="81" t="s">
        <v>84</v>
      </c>
      <c r="P72" s="82" t="s">
        <v>260</v>
      </c>
    </row>
    <row r="73" spans="1:16" x14ac:dyDescent="0.2">
      <c r="B73" s="6"/>
      <c r="E73" s="78"/>
      <c r="F73" s="6"/>
    </row>
    <row r="74" spans="1:16" x14ac:dyDescent="0.2">
      <c r="B74" s="6"/>
      <c r="E74" s="78"/>
      <c r="F74" s="6"/>
    </row>
    <row r="75" spans="1:16" x14ac:dyDescent="0.2">
      <c r="B75" s="6"/>
      <c r="E75" s="78"/>
      <c r="F75" s="6"/>
    </row>
    <row r="76" spans="1:16" x14ac:dyDescent="0.2">
      <c r="B76" s="6"/>
      <c r="E76" s="78"/>
      <c r="F76" s="6"/>
    </row>
    <row r="77" spans="1:16" x14ac:dyDescent="0.2">
      <c r="B77" s="6"/>
      <c r="E77" s="78"/>
      <c r="F77" s="6"/>
    </row>
    <row r="78" spans="1:16" x14ac:dyDescent="0.2">
      <c r="B78" s="6"/>
      <c r="F78" s="6"/>
    </row>
    <row r="79" spans="1:16" x14ac:dyDescent="0.2">
      <c r="B79" s="6"/>
      <c r="F79" s="6"/>
    </row>
    <row r="80" spans="1:1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</sheetData>
  <phoneticPr fontId="8" type="noConversion"/>
  <hyperlinks>
    <hyperlink ref="P11" r:id="rId1" display="http://www.bav-astro.de/sfs/BAVM_link.php?BAVMnr=135"/>
    <hyperlink ref="P12" r:id="rId2" display="http://www.bav-astro.de/sfs/BAVM_link.php?BAVMnr=135"/>
    <hyperlink ref="P62" r:id="rId3" display="http://www.bav-astro.de/sfs/BAVM_link.php?BAVMnr=135"/>
    <hyperlink ref="P13" r:id="rId4" display="http://www.bav-astro.de/sfs/BAVM_link.php?BAVMnr=135"/>
    <hyperlink ref="P14" r:id="rId5" display="http://www.bav-astro.de/sfs/BAVM_link.php?BAVMnr=135"/>
    <hyperlink ref="P15" r:id="rId6" display="http://www.bav-astro.de/sfs/BAVM_link.php?BAVMnr=135"/>
    <hyperlink ref="P16" r:id="rId7" display="http://www.bav-astro.de/sfs/BAVM_link.php?BAVMnr=135"/>
    <hyperlink ref="P17" r:id="rId8" display="http://www.bav-astro.de/sfs/BAVM_link.php?BAVMnr=135"/>
    <hyperlink ref="P18" r:id="rId9" display="http://www.bav-astro.de/sfs/BAVM_link.php?BAVMnr=135"/>
    <hyperlink ref="P63" r:id="rId10" display="http://www.bav-astro.de/sfs/BAVM_link.php?BAVMnr=135"/>
    <hyperlink ref="P19" r:id="rId11" display="http://www.bav-astro.de/sfs/BAVM_link.php?BAVMnr=152"/>
    <hyperlink ref="P20" r:id="rId12" display="http://www.bav-astro.de/sfs/BAVM_link.php?BAVMnr=152"/>
    <hyperlink ref="P21" r:id="rId13" display="http://www.bav-astro.de/sfs/BAVM_link.php?BAVMnr=152"/>
    <hyperlink ref="P22" r:id="rId14" display="http://www.bav-astro.de/sfs/BAVM_link.php?BAVMnr=152"/>
    <hyperlink ref="P23" r:id="rId15" display="http://www.bav-astro.de/sfs/BAVM_link.php?BAVMnr=152"/>
    <hyperlink ref="P24" r:id="rId16" display="http://www.bav-astro.de/sfs/BAVM_link.php?BAVMnr=152"/>
    <hyperlink ref="P25" r:id="rId17" display="http://www.bav-astro.de/sfs/BAVM_link.php?BAVMnr=152"/>
    <hyperlink ref="P26" r:id="rId18" display="http://www.bav-astro.de/sfs/BAVM_link.php?BAVMnr=152"/>
    <hyperlink ref="P27" r:id="rId19" display="http://www.bav-astro.de/sfs/BAVM_link.php?BAVMnr=152"/>
    <hyperlink ref="P28" r:id="rId20" display="http://www.bav-astro.de/sfs/BAVM_link.php?BAVMnr=158"/>
    <hyperlink ref="P29" r:id="rId21" display="http://www.bav-astro.de/sfs/BAVM_link.php?BAVMnr=158"/>
    <hyperlink ref="P30" r:id="rId22" display="http://www.bav-astro.de/sfs/BAVM_link.php?BAVMnr=158"/>
    <hyperlink ref="P31" r:id="rId23" display="http://www.bav-astro.de/sfs/BAVM_link.php?BAVMnr=173"/>
    <hyperlink ref="P32" r:id="rId24" display="http://www.bav-astro.de/sfs/BAVM_link.php?BAVMnr=173"/>
    <hyperlink ref="P33" r:id="rId25" display="http://www.bav-astro.de/sfs/BAVM_link.php?BAVMnr=173"/>
    <hyperlink ref="P34" r:id="rId26" display="http://www.bav-astro.de/sfs/BAVM_link.php?BAVMnr=173"/>
    <hyperlink ref="P35" r:id="rId27" display="http://www.bav-astro.de/sfs/BAVM_link.php?BAVMnr=173"/>
    <hyperlink ref="P36" r:id="rId28" display="http://www.bav-astro.de/sfs/BAVM_link.php?BAVMnr=173"/>
    <hyperlink ref="P37" r:id="rId29" display="http://www.bav-astro.de/sfs/BAVM_link.php?BAVMnr=173"/>
    <hyperlink ref="P38" r:id="rId30" display="http://www.bav-astro.de/sfs/BAVM_link.php?BAVMnr=173"/>
    <hyperlink ref="P39" r:id="rId31" display="http://www.bav-astro.de/sfs/BAVM_link.php?BAVMnr=173"/>
    <hyperlink ref="P40" r:id="rId32" display="http://www.bav-astro.de/sfs/BAVM_link.php?BAVMnr=173"/>
    <hyperlink ref="P41" r:id="rId33" display="http://www.bav-astro.de/sfs/BAVM_link.php?BAVMnr=178"/>
    <hyperlink ref="P42" r:id="rId34" display="http://www.bav-astro.de/sfs/BAVM_link.php?BAVMnr=178"/>
    <hyperlink ref="P43" r:id="rId35" display="http://www.bav-astro.de/sfs/BAVM_link.php?BAVMnr=178"/>
    <hyperlink ref="P44" r:id="rId36" display="http://www.bav-astro.de/sfs/BAVM_link.php?BAVMnr=183"/>
    <hyperlink ref="P45" r:id="rId37" display="http://www.bav-astro.de/sfs/BAVM_link.php?BAVMnr=215"/>
    <hyperlink ref="P46" r:id="rId38" display="http://www.bav-astro.de/sfs/BAVM_link.php?BAVMnr=215"/>
    <hyperlink ref="P64" r:id="rId39" display="http://www.bav-astro.de/sfs/BAVM_link.php?BAVMnr=212"/>
    <hyperlink ref="P65" r:id="rId40" display="http://www.bav-astro.de/sfs/BAVM_link.php?BAVMnr=212"/>
    <hyperlink ref="P66" r:id="rId41" display="http://www.bav-astro.de/sfs/BAVM_link.php?BAVMnr=212"/>
    <hyperlink ref="P47" r:id="rId42" display="http://www.bav-astro.de/sfs/BAVM_link.php?BAVMnr=214"/>
    <hyperlink ref="P48" r:id="rId43" display="http://www.bav-astro.de/sfs/BAVM_link.php?BAVMnr=215"/>
    <hyperlink ref="P49" r:id="rId44" display="http://www.bav-astro.de/sfs/BAVM_link.php?BAVMnr=215"/>
    <hyperlink ref="P50" r:id="rId45" display="http://www.konkoly.hu/cgi-bin/IBVS?5960"/>
    <hyperlink ref="P67" r:id="rId46" display="http://www.bav-astro.de/sfs/BAVM_link.php?BAVMnr=225"/>
    <hyperlink ref="P68" r:id="rId47" display="http://www.bav-astro.de/sfs/BAVM_link.php?BAVMnr=225"/>
    <hyperlink ref="P69" r:id="rId48" display="http://www.bav-astro.de/sfs/BAVM_link.php?BAVMnr=225"/>
    <hyperlink ref="P70" r:id="rId49" display="http://www.bav-astro.de/sfs/BAVM_link.php?BAVMnr=225"/>
    <hyperlink ref="P71" r:id="rId50" display="http://www.bav-astro.de/sfs/BAVM_link.php?BAVMnr=225"/>
    <hyperlink ref="P72" r:id="rId51" display="http://www.bav-astro.de/sfs/BAVM_link.php?BAVMnr=225"/>
    <hyperlink ref="P51" r:id="rId52" display="http://www.bav-astro.de/sfs/BAVM_link.php?BAVMnr=231"/>
    <hyperlink ref="P52" r:id="rId53" display="http://www.bav-astro.de/sfs/BAVM_link.php?BAVMnr=231"/>
    <hyperlink ref="P53" r:id="rId54" display="http://www.bav-astro.de/sfs/BAVM_link.php?BAVMnr=234"/>
    <hyperlink ref="P54" r:id="rId55" display="http://www.bav-astro.de/sfs/BAVM_link.php?BAVMnr=234"/>
    <hyperlink ref="P55" r:id="rId56" display="http://www.bav-astro.de/sfs/BAVM_link.php?BAVMnr=234"/>
    <hyperlink ref="P56" r:id="rId57" display="http://www.bav-astro.de/sfs/BAVM_link.php?BAVMnr=234"/>
    <hyperlink ref="P57" r:id="rId58" display="http://www.bav-astro.de/sfs/BAVM_link.php?BAVMnr=234"/>
    <hyperlink ref="P58" r:id="rId59" display="http://www.bav-astro.de/sfs/BAVM_link.php?BAVMnr=234"/>
    <hyperlink ref="P59" r:id="rId60" display="http://www.bav-astro.de/sfs/BAVM_link.php?BAVMnr=239"/>
    <hyperlink ref="P60" r:id="rId61" display="http://www.bav-astro.de/sfs/BAVM_link.php?BAVMnr=239"/>
    <hyperlink ref="P61" r:id="rId6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2024-02-17T03:58:35Z</dcterms:modified>
</cp:coreProperties>
</file>