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3B093A8-B320-4CAA-A344-AB951D4E6F4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G11" i="1"/>
  <c r="F11" i="1"/>
  <c r="E23" i="1"/>
  <c r="F23" i="1"/>
  <c r="G23" i="1"/>
  <c r="I23" i="1"/>
  <c r="Q22" i="1"/>
  <c r="Q23" i="1"/>
  <c r="E14" i="1"/>
  <c r="E15" i="1" s="1"/>
  <c r="C21" i="1"/>
  <c r="C17" i="1"/>
  <c r="A21" i="1"/>
  <c r="C7" i="1"/>
  <c r="E24" i="1"/>
  <c r="F24" i="1"/>
  <c r="C8" i="1"/>
  <c r="Q21" i="1"/>
  <c r="E21" i="1"/>
  <c r="F21" i="1"/>
  <c r="G21" i="1"/>
  <c r="H21" i="1"/>
  <c r="G24" i="1"/>
  <c r="H24" i="1"/>
  <c r="E22" i="1"/>
  <c r="F22" i="1"/>
  <c r="G22" i="1"/>
  <c r="I22" i="1"/>
  <c r="C11" i="1"/>
  <c r="C12" i="1"/>
  <c r="C16" i="1" l="1"/>
  <c r="D18" i="1" s="1"/>
  <c r="O21" i="1"/>
  <c r="O24" i="1"/>
  <c r="C15" i="1"/>
  <c r="E16" i="1" s="1"/>
  <c r="O22" i="1"/>
  <c r="O23" i="1"/>
  <c r="C18" i="1" l="1"/>
  <c r="E17" i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<sst xmlns="http://schemas.openxmlformats.org/spreadsheetml/2006/main" count="55" uniqueCount="49">
  <si>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</si>
  <si>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</si>
  <si>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</si>
  <si>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</si>
  <si>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</si>
  <si>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</si>
  <si>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</si>
  <si>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</si>
  <si>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</si>
  <si>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</si>
  <si>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</si>
  <si>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</si>
  <si>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</si>
  <si>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</si>
  <si>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</si>
  <si>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</si>
  <si>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</si>
  <si>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</si>
  <si>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</si>
  <si>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</si>
  <si>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</si>
  <si>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</si>
  <si>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</si>
  <si>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</si>
  <si>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</si>
  <si>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</si>
  <si>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</si>
  <si>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</si>
  <si>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</si>
  <si>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</si>
  <si>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</si>
  <si>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</si>
  <si>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</si>
  <si>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</si>
  <si>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</si>
  <si>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</si>
  <si>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Lac</t>
  </si>
  <si>
    <t>EA</t>
  </si>
  <si>
    <t>IBVS 5686 Eph.</t>
  </si>
  <si>
    <t>IBVS 5686</t>
  </si>
  <si>
    <t>G3621-0146_Lac.xls</t>
  </si>
  <si>
    <t>V0458 Lac / GSC 3621-0146</t>
  </si>
  <si>
    <t>Add cycle</t>
  </si>
  <si>
    <t>Old Cycle</t>
  </si>
  <si>
    <t>OEJV 0137</t>
  </si>
  <si>
    <t>I</t>
  </si>
  <si>
    <t>IBVS 6070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</si>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</sst>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V0458 Lac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2712</c:v>
                </c:pt>
                <c:pt idx="2">
                  <c:v>2871</c:v>
                </c:pt>
                <c:pt idx="3">
                  <c:v>3497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3">
                  <c:v>-8.4249999999883585E-2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9A-417B-B0A1-1427D15009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2712</c:v>
                </c:pt>
                <c:pt idx="2">
                  <c:v>2871</c:v>
                </c:pt>
                <c:pt idx="3">
                  <c:v>3497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-7.8419999998004641E-2</c:v>
                </c:pt>
                <c:pt idx="2">
                  <c:v>-7.99299999998766E-2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9A-417B-B0A1-1427D15009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2712</c:v>
                </c:pt>
                <c:pt idx="2">
                  <c:v>2871</c:v>
                </c:pt>
                <c:pt idx="3">
                  <c:v>3497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9A-417B-B0A1-1427D15009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2712</c:v>
                </c:pt>
                <c:pt idx="2">
                  <c:v>2871</c:v>
                </c:pt>
                <c:pt idx="3">
                  <c:v>3497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9A-417B-B0A1-1427D15009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2712</c:v>
                </c:pt>
                <c:pt idx="2">
                  <c:v>2871</c:v>
                </c:pt>
                <c:pt idx="3">
                  <c:v>3497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9A-417B-B0A1-1427D15009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2712</c:v>
                </c:pt>
                <c:pt idx="2">
                  <c:v>2871</c:v>
                </c:pt>
                <c:pt idx="3">
                  <c:v>3497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9A-417B-B0A1-1427D15009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2712</c:v>
                </c:pt>
                <c:pt idx="2">
                  <c:v>2871</c:v>
                </c:pt>
                <c:pt idx="3">
                  <c:v>3497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9A-417B-B0A1-1427D15009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2712</c:v>
                </c:pt>
                <c:pt idx="2">
                  <c:v>2871</c:v>
                </c:pt>
                <c:pt idx="3">
                  <c:v>3497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-5.8838569661414403E-2</c:v>
                </c:pt>
                <c:pt idx="1">
                  <c:v>-7.8576520898052143E-2</c:v>
                </c:pt>
                <c:pt idx="2">
                  <c:v>-7.9733723791350603E-2</c:v>
                </c:pt>
                <c:pt idx="3">
                  <c:v>-8.4289755308362108E-2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9A-417B-B0A1-1427D1500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596416"/>
        <c:axId val="1"/>
      </c:scatterChart>
      <c:valAx>
        <c:axId val="869596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596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0</xdr:row>
      <xdr:rowOff>0</xdr:rowOff>
    </xdr:from>
    <xdr:to>
      <xdr:col>16</xdr:col>
      <xdr:colOff>476250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0302218-7E03-735C-BAE5-CAC673EF6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0"/>
      <c r="F1" s="32" t="s">
        <v>36</v>
      </c>
      <c r="G1" s="30" t="s">
        <v>37</v>
      </c>
      <c r="H1" s="33" t="s">
        <v>38</v>
      </c>
      <c r="I1" s="31">
        <v>51505.64</v>
      </c>
      <c r="J1" s="31">
        <v>1.34795</v>
      </c>
      <c r="K1" s="34" t="s">
        <v>39</v>
      </c>
      <c r="L1" s="35" t="s">
        <v>40</v>
      </c>
    </row>
    <row r="2" spans="1:12" x14ac:dyDescent="0.2">
      <c r="A2" t="s">
        <v>22</v>
      </c>
      <c r="B2" t="s">
        <v>37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38</v>
      </c>
      <c r="C4" s="7">
        <v>51505.64</v>
      </c>
      <c r="D4" s="8">
        <v>1.34795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51505.64</v>
      </c>
    </row>
    <row r="8" spans="1:12" x14ac:dyDescent="0.2">
      <c r="A8" t="s">
        <v>2</v>
      </c>
      <c r="C8">
        <f>+D4</f>
        <v>1.34795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-5.8838569661414403E-2</v>
      </c>
      <c r="D11" s="13"/>
      <c r="E11" s="11"/>
      <c r="F11" s="25" t="str">
        <f>"F"&amp;E19</f>
        <v>F22</v>
      </c>
      <c r="G11" s="26" t="str">
        <f>"G"&amp;E19</f>
        <v>G22</v>
      </c>
    </row>
    <row r="12" spans="1:12" x14ac:dyDescent="0.2">
      <c r="A12" s="11" t="s">
        <v>15</v>
      </c>
      <c r="B12" s="11"/>
      <c r="C12" s="24">
        <f ca="1">SLOPE(INDIRECT($G$11):G992,INDIRECT($F$11):F992)</f>
        <v>-7.2780056182292557E-6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42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60357.709736458331</v>
      </c>
    </row>
    <row r="15" spans="1:12" x14ac:dyDescent="0.2">
      <c r="A15" s="14" t="s">
        <v>16</v>
      </c>
      <c r="B15" s="11"/>
      <c r="C15" s="15">
        <f ca="1">(C7+C11)+(C8+C12)*INT(MAX(F21:F3533))</f>
        <v>56219.336860244694</v>
      </c>
      <c r="D15" s="16" t="s">
        <v>43</v>
      </c>
      <c r="E15" s="17">
        <f ca="1">ROUND(2*(E14-$C$7)/$C$8,0)/2+E13</f>
        <v>6568</v>
      </c>
    </row>
    <row r="16" spans="1:12" x14ac:dyDescent="0.2">
      <c r="A16" s="18" t="s">
        <v>3</v>
      </c>
      <c r="B16" s="11"/>
      <c r="C16" s="19">
        <f ca="1">+C8+C12</f>
        <v>1.3479427219943818</v>
      </c>
      <c r="D16" s="16" t="s">
        <v>32</v>
      </c>
      <c r="E16" s="26">
        <f ca="1">ROUND(2*(E14-$C$15)/$C$16,0)/2+E13</f>
        <v>3071</v>
      </c>
    </row>
    <row r="17" spans="1:17" ht="13.5" thickBot="1" x14ac:dyDescent="0.25">
      <c r="A17" s="16" t="s">
        <v>28</v>
      </c>
      <c r="B17" s="11"/>
      <c r="C17" s="11">
        <f>COUNT(C21:C2191)</f>
        <v>4</v>
      </c>
      <c r="D17" s="16" t="s">
        <v>33</v>
      </c>
      <c r="E17" s="20">
        <f ca="1">+$C$15+$C$16*E16-15018.5-$C$9/24</f>
        <v>45340.764792822774</v>
      </c>
    </row>
    <row r="18" spans="1:17" ht="14.25" thickTop="1" thickBot="1" x14ac:dyDescent="0.25">
      <c r="A18" s="18" t="s">
        <v>4</v>
      </c>
      <c r="B18" s="11"/>
      <c r="C18" s="21">
        <f ca="1">+C15</f>
        <v>56219.336860244694</v>
      </c>
      <c r="D18" s="22">
        <f ca="1">+C16</f>
        <v>1.3479427219943818</v>
      </c>
      <c r="E18" s="23" t="s">
        <v>34</v>
      </c>
    </row>
    <row r="19" spans="1:17" ht="13.5" thickTop="1" x14ac:dyDescent="0.2">
      <c r="A19" s="27" t="s">
        <v>35</v>
      </c>
      <c r="E19" s="28">
        <v>22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47</v>
      </c>
      <c r="J20" s="6" t="s">
        <v>48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5686</v>
      </c>
      <c r="C21" s="9">
        <f>+$C$4</f>
        <v>51505.64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-5.8838569661414403E-2</v>
      </c>
      <c r="Q21" s="2">
        <f>+C21-15018.5</f>
        <v>36487.14</v>
      </c>
    </row>
    <row r="22" spans="1:17" x14ac:dyDescent="0.2">
      <c r="A22" s="39" t="s">
        <v>44</v>
      </c>
      <c r="B22" s="40" t="s">
        <v>45</v>
      </c>
      <c r="C22" s="41">
        <v>55161.201979999998</v>
      </c>
      <c r="D22" s="41">
        <v>4.0000000000000002E-4</v>
      </c>
      <c r="E22">
        <f>+(C22-C$7)/C$8</f>
        <v>2711.9418227679057</v>
      </c>
      <c r="F22">
        <f>ROUND(2*E22,0)/2</f>
        <v>2712</v>
      </c>
      <c r="G22">
        <f>+C22-(C$7+F22*C$8)</f>
        <v>-7.8419999998004641E-2</v>
      </c>
      <c r="I22">
        <f>+G22</f>
        <v>-7.8419999998004641E-2</v>
      </c>
      <c r="O22">
        <f ca="1">+C$11+C$12*$F22</f>
        <v>-7.8576520898052143E-2</v>
      </c>
      <c r="Q22" s="2">
        <f>+C22-15018.5</f>
        <v>40142.701979999998</v>
      </c>
    </row>
    <row r="23" spans="1:17" x14ac:dyDescent="0.2">
      <c r="A23" s="39" t="s">
        <v>44</v>
      </c>
      <c r="B23" s="40" t="s">
        <v>45</v>
      </c>
      <c r="C23" s="41">
        <v>55375.524519999999</v>
      </c>
      <c r="D23" s="41">
        <v>2.0000000000000001E-4</v>
      </c>
      <c r="E23">
        <f>+(C23-C$7)/C$8</f>
        <v>2870.9407025483138</v>
      </c>
      <c r="F23">
        <f>ROUND(2*E23,0)/2</f>
        <v>2871</v>
      </c>
      <c r="G23">
        <f>+C23-(C$7+F23*C$8)</f>
        <v>-7.99299999998766E-2</v>
      </c>
      <c r="I23">
        <f>+G23</f>
        <v>-7.99299999998766E-2</v>
      </c>
      <c r="O23">
        <f ca="1">+C$11+C$12*$F23</f>
        <v>-7.9733723791350603E-2</v>
      </c>
      <c r="Q23" s="2">
        <f>+C23-15018.5</f>
        <v>40357.024519999999</v>
      </c>
    </row>
    <row r="24" spans="1:17" x14ac:dyDescent="0.2">
      <c r="A24" s="36" t="s">
        <v>46</v>
      </c>
      <c r="B24" s="37" t="s">
        <v>45</v>
      </c>
      <c r="C24" s="38">
        <v>56219.336900000002</v>
      </c>
      <c r="D24" s="38">
        <v>1.8E-3</v>
      </c>
      <c r="E24">
        <f>+(C24-C$7)/C$8</f>
        <v>3496.9374976816666</v>
      </c>
      <c r="F24">
        <f>ROUND(2*E24,0)/2</f>
        <v>3497</v>
      </c>
      <c r="G24">
        <f>+C24-(C$7+F24*C$8)</f>
        <v>-8.4249999999883585E-2</v>
      </c>
      <c r="H24">
        <f>+G24</f>
        <v>-8.4249999999883585E-2</v>
      </c>
      <c r="O24">
        <f ca="1">+C$11+C$12*$F24</f>
        <v>-8.4289755308362108E-2</v>
      </c>
      <c r="Q24" s="2">
        <f>+C24-15018.5</f>
        <v>41200.836900000002</v>
      </c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2024-02-17T04:02:01Z</dcterms:modified>
</cp:coreProperties>
</file>