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4F0751C5-0012-47FD-9E12-F72C9D99321F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2" r:id="rId1"/>
    <sheet name="A (old)" sheetId="1" r:id="rId2"/>
  </sheets>
  <calcPr calcId="181029"/>
</workbook>
</file>

<file path=xl/calcChain.xml><?xml version="1.0" encoding="utf-8"?>
<calcChain xmlns="http://schemas.openxmlformats.org/spreadsheetml/2006/main">
  <c r="C9" i="2" l="1"/>
  <c r="D9" i="2"/>
  <c r="E22" i="2"/>
  <c r="F22" i="2"/>
  <c r="G22" i="2"/>
  <c r="K22" i="2"/>
  <c r="E23" i="2"/>
  <c r="F23" i="2"/>
  <c r="G23" i="2"/>
  <c r="K23" i="2"/>
  <c r="E24" i="2"/>
  <c r="F24" i="2"/>
  <c r="G24" i="2"/>
  <c r="K24" i="2"/>
  <c r="E25" i="2"/>
  <c r="F25" i="2"/>
  <c r="G25" i="2"/>
  <c r="K25" i="2"/>
  <c r="E26" i="2"/>
  <c r="F26" i="2"/>
  <c r="G26" i="2"/>
  <c r="E21" i="2"/>
  <c r="F21" i="2"/>
  <c r="G21" i="2"/>
  <c r="K21" i="2"/>
  <c r="F16" i="2"/>
  <c r="F17" i="2" s="1"/>
  <c r="C17" i="2"/>
  <c r="Q21" i="2"/>
  <c r="Q22" i="2"/>
  <c r="Q23" i="2"/>
  <c r="Q24" i="2"/>
  <c r="Q25" i="2"/>
  <c r="K26" i="2"/>
  <c r="Q26" i="2"/>
  <c r="C8" i="1"/>
  <c r="E21" i="1"/>
  <c r="F21" i="1"/>
  <c r="G21" i="1"/>
  <c r="K21" i="1"/>
  <c r="E22" i="1"/>
  <c r="F22" i="1"/>
  <c r="G22" i="1"/>
  <c r="K22" i="1"/>
  <c r="E23" i="1"/>
  <c r="F23" i="1"/>
  <c r="G23" i="1"/>
  <c r="K23" i="1"/>
  <c r="E25" i="1"/>
  <c r="F25" i="1"/>
  <c r="G25" i="1"/>
  <c r="K25" i="1"/>
  <c r="D9" i="1"/>
  <c r="C9" i="1"/>
  <c r="Q21" i="1"/>
  <c r="Q22" i="1"/>
  <c r="Q23" i="1"/>
  <c r="Q24" i="1"/>
  <c r="Q25" i="1"/>
  <c r="Q26" i="1"/>
  <c r="D8" i="1"/>
  <c r="F16" i="1"/>
  <c r="F17" i="1" s="1"/>
  <c r="C17" i="1"/>
  <c r="E24" i="1"/>
  <c r="F24" i="1"/>
  <c r="G24" i="1"/>
  <c r="E26" i="1"/>
  <c r="F26" i="1"/>
  <c r="G26" i="1"/>
  <c r="K26" i="1"/>
  <c r="K24" i="1"/>
  <c r="C12" i="2"/>
  <c r="C12" i="1"/>
  <c r="C11" i="1"/>
  <c r="C11" i="2"/>
  <c r="O23" i="2" l="1"/>
  <c r="R23" i="2" s="1"/>
  <c r="C15" i="2"/>
  <c r="O22" i="2"/>
  <c r="R22" i="2" s="1"/>
  <c r="O25" i="2"/>
  <c r="R25" i="2" s="1"/>
  <c r="O24" i="2"/>
  <c r="R24" i="2" s="1"/>
  <c r="O21" i="2"/>
  <c r="R21" i="2" s="1"/>
  <c r="R18" i="2" s="1"/>
  <c r="O26" i="2"/>
  <c r="R26" i="2" s="1"/>
  <c r="C15" i="1"/>
  <c r="O25" i="1"/>
  <c r="R25" i="1" s="1"/>
  <c r="O23" i="1"/>
  <c r="R23" i="1" s="1"/>
  <c r="O26" i="1"/>
  <c r="R26" i="1" s="1"/>
  <c r="O24" i="1"/>
  <c r="R24" i="1" s="1"/>
  <c r="O22" i="1"/>
  <c r="R22" i="1" s="1"/>
  <c r="O21" i="1"/>
  <c r="R21" i="1" s="1"/>
  <c r="C16" i="1"/>
  <c r="D18" i="1" s="1"/>
  <c r="C16" i="2"/>
  <c r="D18" i="2" s="1"/>
  <c r="R18" i="1" l="1"/>
  <c r="F18" i="1"/>
  <c r="F19" i="1" s="1"/>
  <c r="C18" i="1"/>
  <c r="C18" i="2"/>
  <c r="F18" i="2"/>
  <c r="F19" i="2" s="1"/>
</calcChain>
</file>

<file path=xl/sharedStrings.xml><?xml version="1.0" encoding="utf-8"?>
<sst xmlns="http://schemas.openxmlformats.org/spreadsheetml/2006/main" count="125" uniqueCount="56">
  <si>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</si>
  <si>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</si>
  <si>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</si>
  <si>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</si>
  <si>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</si>
  <si>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</si>
  <si>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</si>
  <si>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</si>
  <si>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</si>
  <si>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</si>
  <si>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</si>
  <si>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</si>
  <si>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</si>
  <si>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</si>
  <si>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</si>
  <si>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</si>
  <si>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</si>
  <si>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</si>
  <si>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</si>
  <si>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</si>
  <si>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</si>
  <si>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</si>
  <si>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</si>
  <si>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</si>
  <si>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</si>
  <si>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</si>
  <si>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</si>
  <si>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</si>
  <si>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</si>
  <si>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</si>
  <si>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</si>
  <si>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</si>
  <si>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</si>
  <si>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</si>
  <si>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</si>
  <si>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</si>
  <si>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</si>
  <si>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</si>
  <si>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</si>
  <si>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</si>
  <si>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</si>
  <si>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 xml:space="preserve">V0489 Lac  </t>
  </si>
  <si>
    <t>2017K</t>
  </si>
  <si>
    <t>G3619-0715</t>
  </si>
  <si>
    <t xml:space="preserve">EW        </t>
  </si>
  <si>
    <t>pr_6</t>
  </si>
  <si>
    <t xml:space="preserve">             </t>
  </si>
  <si>
    <t>V0489 Lac   / GSC 3619-0715</t>
  </si>
  <si>
    <t>GCVS</t>
  </si>
  <si>
    <t>IBVS 6196</t>
  </si>
  <si>
    <t>I</t>
  </si>
  <si>
    <t>II</t>
  </si>
  <si>
    <t>IBVS 5959</t>
  </si>
  <si>
    <t>IBVS 6070</t>
  </si>
  <si>
    <t>IBVS 6152</t>
  </si>
  <si>
    <t>Found by ToMcat 2019-07-14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</si>
</sst>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5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47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17" fillId="0" borderId="0"/>
    <xf numFmtId="0" fontId="17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5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4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6" fillId="0" borderId="5" xfId="0" applyFont="1" applyBorder="1" applyAlignment="1">
      <alignment horizontal="center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center"/>
    </xf>
    <xf numFmtId="0" fontId="5" fillId="24" borderId="11" xfId="0" applyFont="1" applyFill="1" applyBorder="1" applyAlignment="1">
      <alignment horizontal="left" vertical="center"/>
    </xf>
    <xf numFmtId="0" fontId="15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15" fillId="24" borderId="11" xfId="0" applyFont="1" applyFill="1" applyBorder="1" applyAlignment="1">
      <alignment horizontal="left" vertical="center"/>
    </xf>
    <xf numFmtId="0" fontId="5" fillId="0" borderId="5" xfId="0" applyNumberFormat="1" applyFont="1" applyBorder="1" applyAlignment="1">
      <alignment horizontal="left" vertical="center"/>
    </xf>
    <xf numFmtId="0" fontId="5" fillId="25" borderId="5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16" fillId="25" borderId="5" xfId="0" applyFont="1" applyFill="1" applyBorder="1" applyAlignment="1">
      <alignment vertical="center"/>
    </xf>
    <xf numFmtId="0" fontId="0" fillId="0" borderId="5" xfId="0" applyBorder="1">
      <alignment vertical="top"/>
    </xf>
    <xf numFmtId="0" fontId="31" fillId="0" borderId="0" xfId="41" applyFont="1" applyAlignment="1">
      <alignment wrapText="1"/>
    </xf>
    <xf numFmtId="0" fontId="31" fillId="0" borderId="0" xfId="41" applyFont="1" applyAlignment="1">
      <alignment horizontal="center" wrapText="1"/>
    </xf>
    <xf numFmtId="0" fontId="31" fillId="0" borderId="0" xfId="41" applyFont="1" applyAlignment="1">
      <alignment horizontal="left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2" fillId="0" borderId="0" xfId="0" applyFont="1">
      <alignment vertical="top"/>
    </xf>
    <xf numFmtId="0" fontId="32" fillId="0" borderId="0" xfId="0" applyFont="1" applyAlignment="1">
      <alignment horizontal="center"/>
    </xf>
    <xf numFmtId="0" fontId="32" fillId="0" borderId="0" xfId="0" applyFont="1" applyAlignment="1">
      <alignment horizontal="left"/>
    </xf>
    <xf numFmtId="0" fontId="33" fillId="0" borderId="0" xfId="0" applyFont="1" applyAlignment="1">
      <alignment horizontal="left" wrapText="1"/>
    </xf>
    <xf numFmtId="0" fontId="33" fillId="0" borderId="0" xfId="0" applyFont="1" applyAlignment="1">
      <alignment horizontal="center"/>
    </xf>
    <xf numFmtId="0" fontId="0" fillId="0" borderId="0" xfId="0" applyAlignment="1">
      <alignment horizontal="right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V0489 Lac - O-C Diagr.</a:t>
            </a:r>
          </a:p>
        </c:rich>
      </c:tx>
      <c:layout>
        <c:manualLayout>
          <c:xMode val="edge"/>
          <c:yMode val="edge"/>
          <c:x val="0.3684210526315789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05263157894736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8.0000000000000002E-3</c:v>
                  </c:pt>
                  <c:pt idx="1">
                    <c:v>2.3E-3</c:v>
                  </c:pt>
                  <c:pt idx="2">
                    <c:v>4.5999999999999999E-3</c:v>
                  </c:pt>
                  <c:pt idx="3">
                    <c:v>8.3999999999999995E-3</c:v>
                  </c:pt>
                  <c:pt idx="4">
                    <c:v>1.1000000000000001E-3</c:v>
                  </c:pt>
                  <c:pt idx="5">
                    <c:v>2.5000000000000001E-3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8.0000000000000002E-3</c:v>
                  </c:pt>
                  <c:pt idx="1">
                    <c:v>2.3E-3</c:v>
                  </c:pt>
                  <c:pt idx="2">
                    <c:v>4.5999999999999999E-3</c:v>
                  </c:pt>
                  <c:pt idx="3">
                    <c:v>8.3999999999999995E-3</c:v>
                  </c:pt>
                  <c:pt idx="4">
                    <c:v>1.1000000000000001E-3</c:v>
                  </c:pt>
                  <c:pt idx="5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-54.5</c:v>
                </c:pt>
                <c:pt idx="1">
                  <c:v>0</c:v>
                </c:pt>
                <c:pt idx="2">
                  <c:v>6031.5</c:v>
                </c:pt>
                <c:pt idx="3">
                  <c:v>7715.5</c:v>
                </c:pt>
                <c:pt idx="4">
                  <c:v>8395.5</c:v>
                </c:pt>
                <c:pt idx="5">
                  <c:v>8578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299-48A7-860C-784078CE0FB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8.0000000000000002E-3</c:v>
                  </c:pt>
                  <c:pt idx="1">
                    <c:v>2.3E-3</c:v>
                  </c:pt>
                  <c:pt idx="2">
                    <c:v>4.5999999999999999E-3</c:v>
                  </c:pt>
                  <c:pt idx="3">
                    <c:v>8.3999999999999995E-3</c:v>
                  </c:pt>
                  <c:pt idx="4">
                    <c:v>1.1000000000000001E-3</c:v>
                  </c:pt>
                  <c:pt idx="5">
                    <c:v>2.5000000000000001E-3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8.0000000000000002E-3</c:v>
                  </c:pt>
                  <c:pt idx="1">
                    <c:v>2.3E-3</c:v>
                  </c:pt>
                  <c:pt idx="2">
                    <c:v>4.5999999999999999E-3</c:v>
                  </c:pt>
                  <c:pt idx="3">
                    <c:v>8.3999999999999995E-3</c:v>
                  </c:pt>
                  <c:pt idx="4">
                    <c:v>1.1000000000000001E-3</c:v>
                  </c:pt>
                  <c:pt idx="5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-54.5</c:v>
                </c:pt>
                <c:pt idx="1">
                  <c:v>0</c:v>
                </c:pt>
                <c:pt idx="2">
                  <c:v>6031.5</c:v>
                </c:pt>
                <c:pt idx="3">
                  <c:v>7715.5</c:v>
                </c:pt>
                <c:pt idx="4">
                  <c:v>8395.5</c:v>
                </c:pt>
                <c:pt idx="5">
                  <c:v>8578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299-48A7-860C-784078CE0FB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8.0000000000000002E-3</c:v>
                  </c:pt>
                  <c:pt idx="1">
                    <c:v>2.3E-3</c:v>
                  </c:pt>
                  <c:pt idx="2">
                    <c:v>4.5999999999999999E-3</c:v>
                  </c:pt>
                  <c:pt idx="3">
                    <c:v>8.3999999999999995E-3</c:v>
                  </c:pt>
                  <c:pt idx="4">
                    <c:v>1.1000000000000001E-3</c:v>
                  </c:pt>
                  <c:pt idx="5">
                    <c:v>2.5000000000000001E-3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8.0000000000000002E-3</c:v>
                  </c:pt>
                  <c:pt idx="1">
                    <c:v>2.3E-3</c:v>
                  </c:pt>
                  <c:pt idx="2">
                    <c:v>4.5999999999999999E-3</c:v>
                  </c:pt>
                  <c:pt idx="3">
                    <c:v>8.3999999999999995E-3</c:v>
                  </c:pt>
                  <c:pt idx="4">
                    <c:v>1.1000000000000001E-3</c:v>
                  </c:pt>
                  <c:pt idx="5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-54.5</c:v>
                </c:pt>
                <c:pt idx="1">
                  <c:v>0</c:v>
                </c:pt>
                <c:pt idx="2">
                  <c:v>6031.5</c:v>
                </c:pt>
                <c:pt idx="3">
                  <c:v>7715.5</c:v>
                </c:pt>
                <c:pt idx="4">
                  <c:v>8395.5</c:v>
                </c:pt>
                <c:pt idx="5">
                  <c:v>8578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299-48A7-860C-784078CE0FB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8.0000000000000002E-3</c:v>
                  </c:pt>
                  <c:pt idx="1">
                    <c:v>2.3E-3</c:v>
                  </c:pt>
                  <c:pt idx="2">
                    <c:v>4.5999999999999999E-3</c:v>
                  </c:pt>
                  <c:pt idx="3">
                    <c:v>8.3999999999999995E-3</c:v>
                  </c:pt>
                  <c:pt idx="4">
                    <c:v>1.1000000000000001E-3</c:v>
                  </c:pt>
                  <c:pt idx="5">
                    <c:v>2.5000000000000001E-3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8.0000000000000002E-3</c:v>
                  </c:pt>
                  <c:pt idx="1">
                    <c:v>2.3E-3</c:v>
                  </c:pt>
                  <c:pt idx="2">
                    <c:v>4.5999999999999999E-3</c:v>
                  </c:pt>
                  <c:pt idx="3">
                    <c:v>8.3999999999999995E-3</c:v>
                  </c:pt>
                  <c:pt idx="4">
                    <c:v>1.1000000000000001E-3</c:v>
                  </c:pt>
                  <c:pt idx="5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-54.5</c:v>
                </c:pt>
                <c:pt idx="1">
                  <c:v>0</c:v>
                </c:pt>
                <c:pt idx="2">
                  <c:v>6031.5</c:v>
                </c:pt>
                <c:pt idx="3">
                  <c:v>7715.5</c:v>
                </c:pt>
                <c:pt idx="4">
                  <c:v>8395.5</c:v>
                </c:pt>
                <c:pt idx="5">
                  <c:v>8578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0">
                  <c:v>6.4575000069453381E-3</c:v>
                </c:pt>
                <c:pt idx="1">
                  <c:v>0</c:v>
                </c:pt>
                <c:pt idx="2">
                  <c:v>4.547500007902272E-3</c:v>
                </c:pt>
                <c:pt idx="3">
                  <c:v>1.20749999769032E-3</c:v>
                </c:pt>
                <c:pt idx="4">
                  <c:v>-6.7925000039394945E-3</c:v>
                </c:pt>
                <c:pt idx="5">
                  <c:v>1.2170000001788139E-2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299-48A7-860C-784078CE0FB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8.0000000000000002E-3</c:v>
                  </c:pt>
                  <c:pt idx="1">
                    <c:v>2.3E-3</c:v>
                  </c:pt>
                  <c:pt idx="2">
                    <c:v>4.5999999999999999E-3</c:v>
                  </c:pt>
                  <c:pt idx="3">
                    <c:v>8.3999999999999995E-3</c:v>
                  </c:pt>
                  <c:pt idx="4">
                    <c:v>1.1000000000000001E-3</c:v>
                  </c:pt>
                  <c:pt idx="5">
                    <c:v>2.5000000000000001E-3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8.0000000000000002E-3</c:v>
                  </c:pt>
                  <c:pt idx="1">
                    <c:v>2.3E-3</c:v>
                  </c:pt>
                  <c:pt idx="2">
                    <c:v>4.5999999999999999E-3</c:v>
                  </c:pt>
                  <c:pt idx="3">
                    <c:v>8.3999999999999995E-3</c:v>
                  </c:pt>
                  <c:pt idx="4">
                    <c:v>1.1000000000000001E-3</c:v>
                  </c:pt>
                  <c:pt idx="5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-54.5</c:v>
                </c:pt>
                <c:pt idx="1">
                  <c:v>0</c:v>
                </c:pt>
                <c:pt idx="2">
                  <c:v>6031.5</c:v>
                </c:pt>
                <c:pt idx="3">
                  <c:v>7715.5</c:v>
                </c:pt>
                <c:pt idx="4">
                  <c:v>8395.5</c:v>
                </c:pt>
                <c:pt idx="5">
                  <c:v>8578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299-48A7-860C-784078CE0FB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8.0000000000000002E-3</c:v>
                  </c:pt>
                  <c:pt idx="1">
                    <c:v>2.3E-3</c:v>
                  </c:pt>
                  <c:pt idx="2">
                    <c:v>4.5999999999999999E-3</c:v>
                  </c:pt>
                  <c:pt idx="3">
                    <c:v>8.3999999999999995E-3</c:v>
                  </c:pt>
                  <c:pt idx="4">
                    <c:v>1.1000000000000001E-3</c:v>
                  </c:pt>
                  <c:pt idx="5">
                    <c:v>2.5000000000000001E-3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8.0000000000000002E-3</c:v>
                  </c:pt>
                  <c:pt idx="1">
                    <c:v>2.3E-3</c:v>
                  </c:pt>
                  <c:pt idx="2">
                    <c:v>4.5999999999999999E-3</c:v>
                  </c:pt>
                  <c:pt idx="3">
                    <c:v>8.3999999999999995E-3</c:v>
                  </c:pt>
                  <c:pt idx="4">
                    <c:v>1.1000000000000001E-3</c:v>
                  </c:pt>
                  <c:pt idx="5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-54.5</c:v>
                </c:pt>
                <c:pt idx="1">
                  <c:v>0</c:v>
                </c:pt>
                <c:pt idx="2">
                  <c:v>6031.5</c:v>
                </c:pt>
                <c:pt idx="3">
                  <c:v>7715.5</c:v>
                </c:pt>
                <c:pt idx="4">
                  <c:v>8395.5</c:v>
                </c:pt>
                <c:pt idx="5">
                  <c:v>8578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299-48A7-860C-784078CE0FB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8.0000000000000002E-3</c:v>
                  </c:pt>
                  <c:pt idx="1">
                    <c:v>2.3E-3</c:v>
                  </c:pt>
                  <c:pt idx="2">
                    <c:v>4.5999999999999999E-3</c:v>
                  </c:pt>
                  <c:pt idx="3">
                    <c:v>8.3999999999999995E-3</c:v>
                  </c:pt>
                  <c:pt idx="4">
                    <c:v>1.1000000000000001E-3</c:v>
                  </c:pt>
                  <c:pt idx="5">
                    <c:v>2.5000000000000001E-3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8.0000000000000002E-3</c:v>
                  </c:pt>
                  <c:pt idx="1">
                    <c:v>2.3E-3</c:v>
                  </c:pt>
                  <c:pt idx="2">
                    <c:v>4.5999999999999999E-3</c:v>
                  </c:pt>
                  <c:pt idx="3">
                    <c:v>8.3999999999999995E-3</c:v>
                  </c:pt>
                  <c:pt idx="4">
                    <c:v>1.1000000000000001E-3</c:v>
                  </c:pt>
                  <c:pt idx="5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-54.5</c:v>
                </c:pt>
                <c:pt idx="1">
                  <c:v>0</c:v>
                </c:pt>
                <c:pt idx="2">
                  <c:v>6031.5</c:v>
                </c:pt>
                <c:pt idx="3">
                  <c:v>7715.5</c:v>
                </c:pt>
                <c:pt idx="4">
                  <c:v>8395.5</c:v>
                </c:pt>
                <c:pt idx="5">
                  <c:v>8578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299-48A7-860C-784078CE0FB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-54.5</c:v>
                </c:pt>
                <c:pt idx="1">
                  <c:v>0</c:v>
                </c:pt>
                <c:pt idx="2">
                  <c:v>6031.5</c:v>
                </c:pt>
                <c:pt idx="3">
                  <c:v>7715.5</c:v>
                </c:pt>
                <c:pt idx="4">
                  <c:v>8395.5</c:v>
                </c:pt>
                <c:pt idx="5">
                  <c:v>8578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3.2505578810395881E-4</c:v>
                </c:pt>
                <c:pt idx="1">
                  <c:v>3.4177387115268652E-4</c:v>
                </c:pt>
                <c:pt idx="2">
                  <c:v>2.1919595208481236E-3</c:v>
                </c:pt>
                <c:pt idx="3">
                  <c:v>2.7085329493629403E-3</c:v>
                </c:pt>
                <c:pt idx="4">
                  <c:v>2.9171255452002769E-3</c:v>
                </c:pt>
                <c:pt idx="5">
                  <c:v>2.9731081168772092E-3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299-48A7-860C-784078CE0FB9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-54.5</c:v>
                </c:pt>
                <c:pt idx="1">
                  <c:v>0</c:v>
                </c:pt>
                <c:pt idx="2">
                  <c:v>6031.5</c:v>
                </c:pt>
                <c:pt idx="3">
                  <c:v>7715.5</c:v>
                </c:pt>
                <c:pt idx="4">
                  <c:v>8395.5</c:v>
                </c:pt>
                <c:pt idx="5">
                  <c:v>8578</c:v>
                </c:pt>
              </c:numCache>
            </c:numRef>
          </c:xVal>
          <c:yVal>
            <c:numRef>
              <c:f>Active!$U$21:$U$998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299-48A7-860C-784078CE0F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1153496"/>
        <c:axId val="1"/>
      </c:scatterChart>
      <c:valAx>
        <c:axId val="8711534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711534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54135338345865"/>
          <c:y val="0.92397937099967764"/>
          <c:w val="0.7142857142857144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V0489 Lac - O-C Diagr.</a:t>
            </a:r>
          </a:p>
        </c:rich>
      </c:tx>
      <c:layout>
        <c:manualLayout>
          <c:xMode val="edge"/>
          <c:yMode val="edge"/>
          <c:x val="0.3684210526315789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2105263157894737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(old)'!$D$21:$D$238</c:f>
                <c:numCache>
                  <c:formatCode>General</c:formatCode>
                  <c:ptCount val="218"/>
                  <c:pt idx="0">
                    <c:v>8.0000000000000002E-3</c:v>
                  </c:pt>
                  <c:pt idx="1">
                    <c:v>2.3E-3</c:v>
                  </c:pt>
                  <c:pt idx="2">
                    <c:v>4.5999999999999999E-3</c:v>
                  </c:pt>
                  <c:pt idx="3">
                    <c:v>8.3999999999999995E-3</c:v>
                  </c:pt>
                  <c:pt idx="4">
                    <c:v>1.1000000000000001E-3</c:v>
                  </c:pt>
                  <c:pt idx="5">
                    <c:v>2.5000000000000001E-3</c:v>
                  </c:pt>
                </c:numCache>
              </c:numRef>
            </c:plus>
            <c:minus>
              <c:numRef>
                <c:f>'A (old)'!$D$21:$D$238</c:f>
                <c:numCache>
                  <c:formatCode>General</c:formatCode>
                  <c:ptCount val="218"/>
                  <c:pt idx="0">
                    <c:v>8.0000000000000002E-3</c:v>
                  </c:pt>
                  <c:pt idx="1">
                    <c:v>2.3E-3</c:v>
                  </c:pt>
                  <c:pt idx="2">
                    <c:v>4.5999999999999999E-3</c:v>
                  </c:pt>
                  <c:pt idx="3">
                    <c:v>8.3999999999999995E-3</c:v>
                  </c:pt>
                  <c:pt idx="4">
                    <c:v>1.1000000000000001E-3</c:v>
                  </c:pt>
                  <c:pt idx="5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(old)'!$F$21:$F$998</c:f>
              <c:numCache>
                <c:formatCode>General</c:formatCode>
                <c:ptCount val="978"/>
                <c:pt idx="0">
                  <c:v>-53.5</c:v>
                </c:pt>
                <c:pt idx="1">
                  <c:v>0</c:v>
                </c:pt>
                <c:pt idx="2">
                  <c:v>5920</c:v>
                </c:pt>
                <c:pt idx="3">
                  <c:v>7573</c:v>
                </c:pt>
                <c:pt idx="4">
                  <c:v>8240.5</c:v>
                </c:pt>
                <c:pt idx="5">
                  <c:v>8419.5</c:v>
                </c:pt>
              </c:numCache>
            </c:numRef>
          </c:xVal>
          <c:yVal>
            <c:numRef>
              <c:f>'A (old)'!$H$21:$H$998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0E5-4D28-A990-686144B841FD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(old)'!$D$21:$D$998</c:f>
                <c:numCache>
                  <c:formatCode>General</c:formatCode>
                  <c:ptCount val="978"/>
                  <c:pt idx="0">
                    <c:v>8.0000000000000002E-3</c:v>
                  </c:pt>
                  <c:pt idx="1">
                    <c:v>2.3E-3</c:v>
                  </c:pt>
                  <c:pt idx="2">
                    <c:v>4.5999999999999999E-3</c:v>
                  </c:pt>
                  <c:pt idx="3">
                    <c:v>8.3999999999999995E-3</c:v>
                  </c:pt>
                  <c:pt idx="4">
                    <c:v>1.1000000000000001E-3</c:v>
                  </c:pt>
                  <c:pt idx="5">
                    <c:v>2.5000000000000001E-3</c:v>
                  </c:pt>
                </c:numCache>
              </c:numRef>
            </c:plus>
            <c:minus>
              <c:numRef>
                <c:f>'A (old)'!$D$21:$D$998</c:f>
                <c:numCache>
                  <c:formatCode>General</c:formatCode>
                  <c:ptCount val="978"/>
                  <c:pt idx="0">
                    <c:v>8.0000000000000002E-3</c:v>
                  </c:pt>
                  <c:pt idx="1">
                    <c:v>2.3E-3</c:v>
                  </c:pt>
                  <c:pt idx="2">
                    <c:v>4.5999999999999999E-3</c:v>
                  </c:pt>
                  <c:pt idx="3">
                    <c:v>8.3999999999999995E-3</c:v>
                  </c:pt>
                  <c:pt idx="4">
                    <c:v>1.1000000000000001E-3</c:v>
                  </c:pt>
                  <c:pt idx="5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(old)'!$F$21:$F$998</c:f>
              <c:numCache>
                <c:formatCode>General</c:formatCode>
                <c:ptCount val="978"/>
                <c:pt idx="0">
                  <c:v>-53.5</c:v>
                </c:pt>
                <c:pt idx="1">
                  <c:v>0</c:v>
                </c:pt>
                <c:pt idx="2">
                  <c:v>5920</c:v>
                </c:pt>
                <c:pt idx="3">
                  <c:v>7573</c:v>
                </c:pt>
                <c:pt idx="4">
                  <c:v>8240.5</c:v>
                </c:pt>
                <c:pt idx="5">
                  <c:v>8419.5</c:v>
                </c:pt>
              </c:numCache>
            </c:numRef>
          </c:xVal>
          <c:yVal>
            <c:numRef>
              <c:f>'A (old)'!$I$21:$I$998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0E5-4D28-A990-686144B841FD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(old)'!$D$21:$D$998</c:f>
                <c:numCache>
                  <c:formatCode>General</c:formatCode>
                  <c:ptCount val="978"/>
                  <c:pt idx="0">
                    <c:v>8.0000000000000002E-3</c:v>
                  </c:pt>
                  <c:pt idx="1">
                    <c:v>2.3E-3</c:v>
                  </c:pt>
                  <c:pt idx="2">
                    <c:v>4.5999999999999999E-3</c:v>
                  </c:pt>
                  <c:pt idx="3">
                    <c:v>8.3999999999999995E-3</c:v>
                  </c:pt>
                  <c:pt idx="4">
                    <c:v>1.1000000000000001E-3</c:v>
                  </c:pt>
                  <c:pt idx="5">
                    <c:v>2.5000000000000001E-3</c:v>
                  </c:pt>
                </c:numCache>
              </c:numRef>
            </c:plus>
            <c:minus>
              <c:numRef>
                <c:f>'A (old)'!$D$21:$D$998</c:f>
                <c:numCache>
                  <c:formatCode>General</c:formatCode>
                  <c:ptCount val="978"/>
                  <c:pt idx="0">
                    <c:v>8.0000000000000002E-3</c:v>
                  </c:pt>
                  <c:pt idx="1">
                    <c:v>2.3E-3</c:v>
                  </c:pt>
                  <c:pt idx="2">
                    <c:v>4.5999999999999999E-3</c:v>
                  </c:pt>
                  <c:pt idx="3">
                    <c:v>8.3999999999999995E-3</c:v>
                  </c:pt>
                  <c:pt idx="4">
                    <c:v>1.1000000000000001E-3</c:v>
                  </c:pt>
                  <c:pt idx="5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(old)'!$F$21:$F$998</c:f>
              <c:numCache>
                <c:formatCode>General</c:formatCode>
                <c:ptCount val="978"/>
                <c:pt idx="0">
                  <c:v>-53.5</c:v>
                </c:pt>
                <c:pt idx="1">
                  <c:v>0</c:v>
                </c:pt>
                <c:pt idx="2">
                  <c:v>5920</c:v>
                </c:pt>
                <c:pt idx="3">
                  <c:v>7573</c:v>
                </c:pt>
                <c:pt idx="4">
                  <c:v>8240.5</c:v>
                </c:pt>
                <c:pt idx="5">
                  <c:v>8419.5</c:v>
                </c:pt>
              </c:numCache>
            </c:numRef>
          </c:xVal>
          <c:yVal>
            <c:numRef>
              <c:f>'A (old)'!$J$21:$J$998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0E5-4D28-A990-686144B841FD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(old)'!$D$21:$D$998</c:f>
                <c:numCache>
                  <c:formatCode>General</c:formatCode>
                  <c:ptCount val="978"/>
                  <c:pt idx="0">
                    <c:v>8.0000000000000002E-3</c:v>
                  </c:pt>
                  <c:pt idx="1">
                    <c:v>2.3E-3</c:v>
                  </c:pt>
                  <c:pt idx="2">
                    <c:v>4.5999999999999999E-3</c:v>
                  </c:pt>
                  <c:pt idx="3">
                    <c:v>8.3999999999999995E-3</c:v>
                  </c:pt>
                  <c:pt idx="4">
                    <c:v>1.1000000000000001E-3</c:v>
                  </c:pt>
                  <c:pt idx="5">
                    <c:v>2.5000000000000001E-3</c:v>
                  </c:pt>
                </c:numCache>
              </c:numRef>
            </c:plus>
            <c:minus>
              <c:numRef>
                <c:f>'A (old)'!$D$21:$D$998</c:f>
                <c:numCache>
                  <c:formatCode>General</c:formatCode>
                  <c:ptCount val="978"/>
                  <c:pt idx="0">
                    <c:v>8.0000000000000002E-3</c:v>
                  </c:pt>
                  <c:pt idx="1">
                    <c:v>2.3E-3</c:v>
                  </c:pt>
                  <c:pt idx="2">
                    <c:v>4.5999999999999999E-3</c:v>
                  </c:pt>
                  <c:pt idx="3">
                    <c:v>8.3999999999999995E-3</c:v>
                  </c:pt>
                  <c:pt idx="4">
                    <c:v>1.1000000000000001E-3</c:v>
                  </c:pt>
                  <c:pt idx="5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(old)'!$F$21:$F$998</c:f>
              <c:numCache>
                <c:formatCode>General</c:formatCode>
                <c:ptCount val="978"/>
                <c:pt idx="0">
                  <c:v>-53.5</c:v>
                </c:pt>
                <c:pt idx="1">
                  <c:v>0</c:v>
                </c:pt>
                <c:pt idx="2">
                  <c:v>5920</c:v>
                </c:pt>
                <c:pt idx="3">
                  <c:v>7573</c:v>
                </c:pt>
                <c:pt idx="4">
                  <c:v>8240.5</c:v>
                </c:pt>
                <c:pt idx="5">
                  <c:v>8419.5</c:v>
                </c:pt>
              </c:numCache>
            </c:numRef>
          </c:xVal>
          <c:yVal>
            <c:numRef>
              <c:f>'A (old)'!$K$21:$K$998</c:f>
              <c:numCache>
                <c:formatCode>General</c:formatCode>
                <c:ptCount val="978"/>
                <c:pt idx="0">
                  <c:v>9.2150000054971315E-3</c:v>
                </c:pt>
                <c:pt idx="1">
                  <c:v>0</c:v>
                </c:pt>
                <c:pt idx="2">
                  <c:v>0.10230000000592554</c:v>
                </c:pt>
                <c:pt idx="3">
                  <c:v>6.272999999782769E-2</c:v>
                </c:pt>
                <c:pt idx="4">
                  <c:v>3.1454999996640254E-2</c:v>
                </c:pt>
                <c:pt idx="5">
                  <c:v>0.11464500000147382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0E5-4D28-A990-686144B841FD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(old)'!$D$21:$D$998</c:f>
                <c:numCache>
                  <c:formatCode>General</c:formatCode>
                  <c:ptCount val="978"/>
                  <c:pt idx="0">
                    <c:v>8.0000000000000002E-3</c:v>
                  </c:pt>
                  <c:pt idx="1">
                    <c:v>2.3E-3</c:v>
                  </c:pt>
                  <c:pt idx="2">
                    <c:v>4.5999999999999999E-3</c:v>
                  </c:pt>
                  <c:pt idx="3">
                    <c:v>8.3999999999999995E-3</c:v>
                  </c:pt>
                  <c:pt idx="4">
                    <c:v>1.1000000000000001E-3</c:v>
                  </c:pt>
                  <c:pt idx="5">
                    <c:v>2.5000000000000001E-3</c:v>
                  </c:pt>
                </c:numCache>
              </c:numRef>
            </c:plus>
            <c:minus>
              <c:numRef>
                <c:f>'A (old)'!$D$21:$D$998</c:f>
                <c:numCache>
                  <c:formatCode>General</c:formatCode>
                  <c:ptCount val="978"/>
                  <c:pt idx="0">
                    <c:v>8.0000000000000002E-3</c:v>
                  </c:pt>
                  <c:pt idx="1">
                    <c:v>2.3E-3</c:v>
                  </c:pt>
                  <c:pt idx="2">
                    <c:v>4.5999999999999999E-3</c:v>
                  </c:pt>
                  <c:pt idx="3">
                    <c:v>8.3999999999999995E-3</c:v>
                  </c:pt>
                  <c:pt idx="4">
                    <c:v>1.1000000000000001E-3</c:v>
                  </c:pt>
                  <c:pt idx="5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(old)'!$F$21:$F$998</c:f>
              <c:numCache>
                <c:formatCode>General</c:formatCode>
                <c:ptCount val="978"/>
                <c:pt idx="0">
                  <c:v>-53.5</c:v>
                </c:pt>
                <c:pt idx="1">
                  <c:v>0</c:v>
                </c:pt>
                <c:pt idx="2">
                  <c:v>5920</c:v>
                </c:pt>
                <c:pt idx="3">
                  <c:v>7573</c:v>
                </c:pt>
                <c:pt idx="4">
                  <c:v>8240.5</c:v>
                </c:pt>
                <c:pt idx="5">
                  <c:v>8419.5</c:v>
                </c:pt>
              </c:numCache>
            </c:numRef>
          </c:xVal>
          <c:yVal>
            <c:numRef>
              <c:f>'A (old)'!$L$21:$L$998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0E5-4D28-A990-686144B841FD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(old)'!$D$21:$D$998</c:f>
                <c:numCache>
                  <c:formatCode>General</c:formatCode>
                  <c:ptCount val="978"/>
                  <c:pt idx="0">
                    <c:v>8.0000000000000002E-3</c:v>
                  </c:pt>
                  <c:pt idx="1">
                    <c:v>2.3E-3</c:v>
                  </c:pt>
                  <c:pt idx="2">
                    <c:v>4.5999999999999999E-3</c:v>
                  </c:pt>
                  <c:pt idx="3">
                    <c:v>8.3999999999999995E-3</c:v>
                  </c:pt>
                  <c:pt idx="4">
                    <c:v>1.1000000000000001E-3</c:v>
                  </c:pt>
                  <c:pt idx="5">
                    <c:v>2.5000000000000001E-3</c:v>
                  </c:pt>
                </c:numCache>
              </c:numRef>
            </c:plus>
            <c:minus>
              <c:numRef>
                <c:f>'A (old)'!$D$21:$D$998</c:f>
                <c:numCache>
                  <c:formatCode>General</c:formatCode>
                  <c:ptCount val="978"/>
                  <c:pt idx="0">
                    <c:v>8.0000000000000002E-3</c:v>
                  </c:pt>
                  <c:pt idx="1">
                    <c:v>2.3E-3</c:v>
                  </c:pt>
                  <c:pt idx="2">
                    <c:v>4.5999999999999999E-3</c:v>
                  </c:pt>
                  <c:pt idx="3">
                    <c:v>8.3999999999999995E-3</c:v>
                  </c:pt>
                  <c:pt idx="4">
                    <c:v>1.1000000000000001E-3</c:v>
                  </c:pt>
                  <c:pt idx="5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(old)'!$F$21:$F$998</c:f>
              <c:numCache>
                <c:formatCode>General</c:formatCode>
                <c:ptCount val="978"/>
                <c:pt idx="0">
                  <c:v>-53.5</c:v>
                </c:pt>
                <c:pt idx="1">
                  <c:v>0</c:v>
                </c:pt>
                <c:pt idx="2">
                  <c:v>5920</c:v>
                </c:pt>
                <c:pt idx="3">
                  <c:v>7573</c:v>
                </c:pt>
                <c:pt idx="4">
                  <c:v>8240.5</c:v>
                </c:pt>
                <c:pt idx="5">
                  <c:v>8419.5</c:v>
                </c:pt>
              </c:numCache>
            </c:numRef>
          </c:xVal>
          <c:yVal>
            <c:numRef>
              <c:f>'A (old)'!$M$21:$M$998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0E5-4D28-A990-686144B841FD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(old)'!$D$21:$D$998</c:f>
                <c:numCache>
                  <c:formatCode>General</c:formatCode>
                  <c:ptCount val="978"/>
                  <c:pt idx="0">
                    <c:v>8.0000000000000002E-3</c:v>
                  </c:pt>
                  <c:pt idx="1">
                    <c:v>2.3E-3</c:v>
                  </c:pt>
                  <c:pt idx="2">
                    <c:v>4.5999999999999999E-3</c:v>
                  </c:pt>
                  <c:pt idx="3">
                    <c:v>8.3999999999999995E-3</c:v>
                  </c:pt>
                  <c:pt idx="4">
                    <c:v>1.1000000000000001E-3</c:v>
                  </c:pt>
                  <c:pt idx="5">
                    <c:v>2.5000000000000001E-3</c:v>
                  </c:pt>
                </c:numCache>
              </c:numRef>
            </c:plus>
            <c:minus>
              <c:numRef>
                <c:f>'A (old)'!$D$21:$D$998</c:f>
                <c:numCache>
                  <c:formatCode>General</c:formatCode>
                  <c:ptCount val="978"/>
                  <c:pt idx="0">
                    <c:v>8.0000000000000002E-3</c:v>
                  </c:pt>
                  <c:pt idx="1">
                    <c:v>2.3E-3</c:v>
                  </c:pt>
                  <c:pt idx="2">
                    <c:v>4.5999999999999999E-3</c:v>
                  </c:pt>
                  <c:pt idx="3">
                    <c:v>8.3999999999999995E-3</c:v>
                  </c:pt>
                  <c:pt idx="4">
                    <c:v>1.1000000000000001E-3</c:v>
                  </c:pt>
                  <c:pt idx="5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(old)'!$F$21:$F$998</c:f>
              <c:numCache>
                <c:formatCode>General</c:formatCode>
                <c:ptCount val="978"/>
                <c:pt idx="0">
                  <c:v>-53.5</c:v>
                </c:pt>
                <c:pt idx="1">
                  <c:v>0</c:v>
                </c:pt>
                <c:pt idx="2">
                  <c:v>5920</c:v>
                </c:pt>
                <c:pt idx="3">
                  <c:v>7573</c:v>
                </c:pt>
                <c:pt idx="4">
                  <c:v>8240.5</c:v>
                </c:pt>
                <c:pt idx="5">
                  <c:v>8419.5</c:v>
                </c:pt>
              </c:numCache>
            </c:numRef>
          </c:xVal>
          <c:yVal>
            <c:numRef>
              <c:f>'A (old)'!$N$21:$N$998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0E5-4D28-A990-686144B841FD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(old)'!$F$21:$F$998</c:f>
              <c:numCache>
                <c:formatCode>General</c:formatCode>
                <c:ptCount val="978"/>
                <c:pt idx="0">
                  <c:v>-53.5</c:v>
                </c:pt>
                <c:pt idx="1">
                  <c:v>0</c:v>
                </c:pt>
                <c:pt idx="2">
                  <c:v>5920</c:v>
                </c:pt>
                <c:pt idx="3">
                  <c:v>7573</c:v>
                </c:pt>
                <c:pt idx="4">
                  <c:v>8240.5</c:v>
                </c:pt>
                <c:pt idx="5">
                  <c:v>8419.5</c:v>
                </c:pt>
              </c:numCache>
            </c:numRef>
          </c:xVal>
          <c:yVal>
            <c:numRef>
              <c:f>'A (old)'!$O$21:$O$998</c:f>
              <c:numCache>
                <c:formatCode>General</c:formatCode>
                <c:ptCount val="978"/>
                <c:pt idx="0">
                  <c:v>9.3578997075417624E-3</c:v>
                </c:pt>
                <c:pt idx="1">
                  <c:v>9.8227907128944844E-3</c:v>
                </c:pt>
                <c:pt idx="2">
                  <c:v>6.1264935604261106E-2</c:v>
                </c:pt>
                <c:pt idx="3">
                  <c:v>7.5628764236934931E-2</c:v>
                </c:pt>
                <c:pt idx="4">
                  <c:v>8.1429039864466563E-2</c:v>
                </c:pt>
                <c:pt idx="5">
                  <c:v>8.2984469583310239E-2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0E5-4D28-A990-686144B841FD}"/>
            </c:ext>
          </c:extLst>
        </c:ser>
        <c:ser>
          <c:idx val="8"/>
          <c:order val="8"/>
          <c:tx>
            <c:strRef>
              <c:f>'A (old)'!$U$20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(old)'!$F$21:$F$998</c:f>
              <c:numCache>
                <c:formatCode>General</c:formatCode>
                <c:ptCount val="978"/>
                <c:pt idx="0">
                  <c:v>-53.5</c:v>
                </c:pt>
                <c:pt idx="1">
                  <c:v>0</c:v>
                </c:pt>
                <c:pt idx="2">
                  <c:v>5920</c:v>
                </c:pt>
                <c:pt idx="3">
                  <c:v>7573</c:v>
                </c:pt>
                <c:pt idx="4">
                  <c:v>8240.5</c:v>
                </c:pt>
                <c:pt idx="5">
                  <c:v>8419.5</c:v>
                </c:pt>
              </c:numCache>
            </c:numRef>
          </c:xVal>
          <c:yVal>
            <c:numRef>
              <c:f>'A (old)'!$U$21:$U$998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0E5-4D28-A990-686144B841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6052520"/>
        <c:axId val="1"/>
      </c:scatterChart>
      <c:valAx>
        <c:axId val="8460525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60525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21353383458646616"/>
          <c:y val="0.92397937099967764"/>
          <c:w val="0.92781954887218043"/>
          <c:h val="0.9824592101425917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50178" name="Chart 1">
          <a:extLst>
            <a:ext uri="{FF2B5EF4-FFF2-40B4-BE49-F238E27FC236}">
              <a16:creationId xmlns:a16="http://schemas.microsoft.com/office/drawing/2014/main" id="{FBB5867A-A743-A1E2-1CDE-042B5699F9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C43AAD3E-7633-9648-0276-2ADBAD5824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U6939"/>
  <sheetViews>
    <sheetView tabSelected="1" workbookViewId="0">
      <selection activeCell="F12" sqref="F12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12.42578125" bestFit="1" customWidth="1"/>
  </cols>
  <sheetData>
    <row r="1" spans="1:19" ht="20.25" x14ac:dyDescent="0.3">
      <c r="A1" s="1" t="s">
        <v>47</v>
      </c>
      <c r="F1" s="34" t="s">
        <v>41</v>
      </c>
      <c r="G1" s="30" t="s">
        <v>42</v>
      </c>
      <c r="H1" s="35"/>
      <c r="I1" s="36" t="s">
        <v>43</v>
      </c>
      <c r="J1" s="37" t="s">
        <v>41</v>
      </c>
      <c r="K1" s="38">
        <v>22.2257</v>
      </c>
      <c r="L1" s="38">
        <v>51.370010000000001</v>
      </c>
      <c r="M1" s="39">
        <v>53259.390899999999</v>
      </c>
      <c r="N1" s="39">
        <v>0.48529</v>
      </c>
      <c r="O1" s="40" t="s">
        <v>44</v>
      </c>
      <c r="P1" s="40">
        <v>12.4</v>
      </c>
      <c r="Q1" s="40">
        <v>12.6</v>
      </c>
      <c r="R1" s="41" t="s">
        <v>45</v>
      </c>
      <c r="S1" s="42" t="s">
        <v>46</v>
      </c>
    </row>
    <row r="2" spans="1:19" x14ac:dyDescent="0.2">
      <c r="A2" t="s">
        <v>23</v>
      </c>
      <c r="B2" t="s">
        <v>44</v>
      </c>
      <c r="C2" s="29"/>
      <c r="D2" s="3"/>
    </row>
    <row r="3" spans="1:19" ht="13.5" thickBot="1" x14ac:dyDescent="0.25"/>
    <row r="4" spans="1:19" ht="14.25" thickTop="1" thickBot="1" x14ac:dyDescent="0.25">
      <c r="A4" s="5" t="s">
        <v>0</v>
      </c>
      <c r="C4" s="26">
        <v>53259.390899999999</v>
      </c>
      <c r="D4" s="27">
        <v>0.48529</v>
      </c>
    </row>
    <row r="5" spans="1:19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9" x14ac:dyDescent="0.2">
      <c r="A6" s="5" t="s">
        <v>1</v>
      </c>
    </row>
    <row r="7" spans="1:19" x14ac:dyDescent="0.2">
      <c r="A7" t="s">
        <v>2</v>
      </c>
      <c r="C7" s="53">
        <v>53259.390899999999</v>
      </c>
      <c r="D7" s="28" t="s">
        <v>48</v>
      </c>
    </row>
    <row r="8" spans="1:19" x14ac:dyDescent="0.2">
      <c r="A8" t="s">
        <v>3</v>
      </c>
      <c r="C8" s="53">
        <v>0.47633500000000001</v>
      </c>
      <c r="D8" s="28" t="s">
        <v>55</v>
      </c>
    </row>
    <row r="9" spans="1:19" x14ac:dyDescent="0.2">
      <c r="A9" s="24" t="s">
        <v>32</v>
      </c>
      <c r="B9" s="33">
        <v>22</v>
      </c>
      <c r="C9" s="22" t="str">
        <f>"F"&amp;B9</f>
        <v>F22</v>
      </c>
      <c r="D9" s="23" t="str">
        <f>"G"&amp;B9</f>
        <v>G22</v>
      </c>
    </row>
    <row r="10" spans="1:19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9" x14ac:dyDescent="0.2">
      <c r="A11" s="10" t="s">
        <v>15</v>
      </c>
      <c r="B11" s="10"/>
      <c r="C11" s="21">
        <f ca="1">INTERCEPT(INDIRECT($D$9):G991,INDIRECT($C$9):F991)</f>
        <v>3.4177387115268652E-4</v>
      </c>
      <c r="D11" s="3"/>
      <c r="E11" s="10"/>
    </row>
    <row r="12" spans="1:19" x14ac:dyDescent="0.2">
      <c r="A12" s="10" t="s">
        <v>16</v>
      </c>
      <c r="B12" s="10"/>
      <c r="C12" s="21">
        <f ca="1">SLOPE(INDIRECT($D$9):G991,INDIRECT($C$9):F991)</f>
        <v>3.0675381740784832E-7</v>
      </c>
      <c r="D12" s="3"/>
      <c r="E12" s="10"/>
    </row>
    <row r="13" spans="1:19" x14ac:dyDescent="0.2">
      <c r="A13" s="10" t="s">
        <v>18</v>
      </c>
      <c r="B13" s="10"/>
      <c r="C13" s="3" t="s">
        <v>13</v>
      </c>
    </row>
    <row r="14" spans="1:19" x14ac:dyDescent="0.2">
      <c r="A14" s="10"/>
      <c r="B14" s="10"/>
      <c r="C14" s="10"/>
    </row>
    <row r="15" spans="1:19" x14ac:dyDescent="0.2">
      <c r="A15" s="12" t="s">
        <v>17</v>
      </c>
      <c r="B15" s="10"/>
      <c r="C15" s="13">
        <f ca="1">(C7+C11)+(C8+C12)*INT(MAX(F21:F3532))</f>
        <v>57345.395503108113</v>
      </c>
      <c r="E15" s="14" t="s">
        <v>34</v>
      </c>
      <c r="F15" s="31">
        <v>1</v>
      </c>
    </row>
    <row r="16" spans="1:19" x14ac:dyDescent="0.2">
      <c r="A16" s="16" t="s">
        <v>4</v>
      </c>
      <c r="B16" s="10"/>
      <c r="C16" s="17">
        <f ca="1">+C8+C12</f>
        <v>0.47633530675381741</v>
      </c>
      <c r="E16" s="14" t="s">
        <v>30</v>
      </c>
      <c r="F16" s="32">
        <f ca="1">NOW()+15018.5+$C$5/24</f>
        <v>60357.722524421297</v>
      </c>
    </row>
    <row r="17" spans="1:21" ht="13.5" thickBot="1" x14ac:dyDescent="0.25">
      <c r="A17" s="14" t="s">
        <v>27</v>
      </c>
      <c r="B17" s="10"/>
      <c r="C17" s="10">
        <f>COUNT(C21:C2190)</f>
        <v>6</v>
      </c>
      <c r="E17" s="14" t="s">
        <v>35</v>
      </c>
      <c r="F17" s="15">
        <f ca="1">ROUND(2*(F16-$C$7)/$C$8,0)/2+F15</f>
        <v>14903</v>
      </c>
    </row>
    <row r="18" spans="1:21" ht="14.25" thickTop="1" thickBot="1" x14ac:dyDescent="0.25">
      <c r="A18" s="16" t="s">
        <v>5</v>
      </c>
      <c r="B18" s="10"/>
      <c r="C18" s="19">
        <f ca="1">+C15</f>
        <v>57345.395503108113</v>
      </c>
      <c r="D18" s="20">
        <f ca="1">+C16</f>
        <v>0.47633530675381741</v>
      </c>
      <c r="E18" s="14" t="s">
        <v>36</v>
      </c>
      <c r="F18" s="23">
        <f ca="1">ROUND(2*(F16-$C$15)/$C$16,0)/2+F15</f>
        <v>6325</v>
      </c>
      <c r="R18">
        <f ca="1">SQRT(SUM(R21:R26)/6)</f>
        <v>6.1153495543537868E-3</v>
      </c>
    </row>
    <row r="19" spans="1:21" ht="13.5" thickTop="1" x14ac:dyDescent="0.2">
      <c r="E19" s="14" t="s">
        <v>31</v>
      </c>
      <c r="F19" s="18">
        <f ca="1">+$C$15+$C$16*F18-15018.5-$C$5/24</f>
        <v>45340.112151659341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38</v>
      </c>
      <c r="J20" s="7" t="s">
        <v>39</v>
      </c>
      <c r="K20" s="7" t="s">
        <v>40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5" t="s">
        <v>33</v>
      </c>
    </row>
    <row r="21" spans="1:21" x14ac:dyDescent="0.2">
      <c r="A21" s="46" t="s">
        <v>52</v>
      </c>
      <c r="B21" s="47" t="s">
        <v>50</v>
      </c>
      <c r="C21" s="46">
        <v>53233.437100000003</v>
      </c>
      <c r="D21" s="46">
        <v>8.0000000000000002E-3</v>
      </c>
      <c r="E21">
        <f t="shared" ref="E21:E26" si="0">+(C21-C$7)/C$8</f>
        <v>-54.486443364429824</v>
      </c>
      <c r="F21">
        <f t="shared" ref="F21:F26" si="1">ROUND(2*E21,0)/2</f>
        <v>-54.5</v>
      </c>
      <c r="G21">
        <f t="shared" ref="G21:G26" si="2">+C21-(C$7+F21*C$8)</f>
        <v>6.4575000069453381E-3</v>
      </c>
      <c r="K21">
        <f t="shared" ref="K21:K26" si="3">+G21</f>
        <v>6.4575000069453381E-3</v>
      </c>
      <c r="O21">
        <f t="shared" ref="O21:O26" ca="1" si="4">+C$11+C$12*$F21</f>
        <v>3.2505578810395881E-4</v>
      </c>
      <c r="Q21" s="2">
        <f t="shared" ref="Q21:Q26" si="5">+C21-15018.5</f>
        <v>38214.937100000003</v>
      </c>
      <c r="R21">
        <f t="shared" ref="R21:R26" ca="1" si="6">(O21-G21)^2</f>
        <v>3.7606872097201053E-5</v>
      </c>
    </row>
    <row r="22" spans="1:21" x14ac:dyDescent="0.2">
      <c r="A22" s="46" t="s">
        <v>52</v>
      </c>
      <c r="B22" s="47" t="s">
        <v>50</v>
      </c>
      <c r="C22" s="46">
        <v>53259.390899999999</v>
      </c>
      <c r="D22" s="46">
        <v>2.3E-3</v>
      </c>
      <c r="E22">
        <f t="shared" si="0"/>
        <v>0</v>
      </c>
      <c r="F22">
        <f t="shared" si="1"/>
        <v>0</v>
      </c>
      <c r="G22">
        <f t="shared" si="2"/>
        <v>0</v>
      </c>
      <c r="K22">
        <f t="shared" si="3"/>
        <v>0</v>
      </c>
      <c r="O22">
        <f t="shared" ca="1" si="4"/>
        <v>3.4177387115268652E-4</v>
      </c>
      <c r="Q22" s="2">
        <f t="shared" si="5"/>
        <v>38240.890899999999</v>
      </c>
      <c r="R22">
        <f t="shared" ca="1" si="6"/>
        <v>1.1680937900269316E-7</v>
      </c>
    </row>
    <row r="23" spans="1:21" x14ac:dyDescent="0.2">
      <c r="A23" s="48" t="s">
        <v>53</v>
      </c>
      <c r="B23" s="49" t="s">
        <v>50</v>
      </c>
      <c r="C23" s="50">
        <v>56132.41</v>
      </c>
      <c r="D23" s="50">
        <v>4.5999999999999999E-3</v>
      </c>
      <c r="E23">
        <f t="shared" si="0"/>
        <v>6031.5095468525406</v>
      </c>
      <c r="F23">
        <f t="shared" si="1"/>
        <v>6031.5</v>
      </c>
      <c r="G23">
        <f t="shared" si="2"/>
        <v>4.547500007902272E-3</v>
      </c>
      <c r="K23">
        <f t="shared" si="3"/>
        <v>4.547500007902272E-3</v>
      </c>
      <c r="O23">
        <f t="shared" ca="1" si="4"/>
        <v>2.1919595208481236E-3</v>
      </c>
      <c r="Q23" s="2">
        <f t="shared" si="5"/>
        <v>41113.910000000003</v>
      </c>
      <c r="R23">
        <f t="shared" ca="1" si="6"/>
        <v>5.5485709861512946E-6</v>
      </c>
    </row>
    <row r="24" spans="1:21" x14ac:dyDescent="0.2">
      <c r="A24" s="51" t="s">
        <v>54</v>
      </c>
      <c r="B24" s="52"/>
      <c r="C24" s="51">
        <v>56934.554799999998</v>
      </c>
      <c r="D24" s="51">
        <v>8.3999999999999995E-3</v>
      </c>
      <c r="E24">
        <f t="shared" si="0"/>
        <v>7715.5025349806319</v>
      </c>
      <c r="F24">
        <f t="shared" si="1"/>
        <v>7715.5</v>
      </c>
      <c r="G24">
        <f t="shared" si="2"/>
        <v>1.20749999769032E-3</v>
      </c>
      <c r="K24">
        <f t="shared" si="3"/>
        <v>1.20749999769032E-3</v>
      </c>
      <c r="O24">
        <f t="shared" ca="1" si="4"/>
        <v>2.7085329493629403E-3</v>
      </c>
      <c r="Q24" s="2">
        <f t="shared" si="5"/>
        <v>41916.054799999998</v>
      </c>
      <c r="R24">
        <f t="shared" ca="1" si="6"/>
        <v>2.2530999220070189E-6</v>
      </c>
    </row>
    <row r="25" spans="1:21" x14ac:dyDescent="0.2">
      <c r="A25" s="43" t="s">
        <v>49</v>
      </c>
      <c r="B25" s="44" t="s">
        <v>51</v>
      </c>
      <c r="C25" s="45">
        <v>57258.454599999997</v>
      </c>
      <c r="D25" s="45">
        <v>1.1000000000000001E-3</v>
      </c>
      <c r="E25">
        <f t="shared" si="0"/>
        <v>8395.4857400778837</v>
      </c>
      <c r="F25">
        <f t="shared" si="1"/>
        <v>8395.5</v>
      </c>
      <c r="G25">
        <f t="shared" si="2"/>
        <v>-6.7925000039394945E-3</v>
      </c>
      <c r="K25">
        <f t="shared" si="3"/>
        <v>-6.7925000039394945E-3</v>
      </c>
      <c r="O25">
        <f t="shared" ca="1" si="4"/>
        <v>2.9171255452002769E-3</v>
      </c>
      <c r="Q25" s="2">
        <f t="shared" si="5"/>
        <v>42239.954599999997</v>
      </c>
      <c r="R25">
        <f t="shared" ca="1" si="6"/>
        <v>9.4276828304507804E-5</v>
      </c>
    </row>
    <row r="26" spans="1:21" x14ac:dyDescent="0.2">
      <c r="A26" s="43" t="s">
        <v>49</v>
      </c>
      <c r="B26" s="44" t="s">
        <v>50</v>
      </c>
      <c r="C26" s="45">
        <v>57345.404699999999</v>
      </c>
      <c r="D26" s="45">
        <v>2.5000000000000001E-3</v>
      </c>
      <c r="E26">
        <f t="shared" si="0"/>
        <v>8578.0255492458055</v>
      </c>
      <c r="F26">
        <f t="shared" si="1"/>
        <v>8578</v>
      </c>
      <c r="G26">
        <f t="shared" si="2"/>
        <v>1.2170000001788139E-2</v>
      </c>
      <c r="K26">
        <f t="shared" si="3"/>
        <v>1.2170000001788139E-2</v>
      </c>
      <c r="O26">
        <f t="shared" ca="1" si="4"/>
        <v>2.9731081168772092E-3</v>
      </c>
      <c r="Q26" s="2">
        <f t="shared" si="5"/>
        <v>42326.904699999999</v>
      </c>
      <c r="R26">
        <f t="shared" ca="1" si="6"/>
        <v>8.4582820342740512E-5</v>
      </c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4" x14ac:dyDescent="0.2">
      <c r="C33" s="8"/>
      <c r="D33" s="8"/>
    </row>
    <row r="34" spans="3:4" x14ac:dyDescent="0.2">
      <c r="C34" s="8"/>
      <c r="D34" s="8"/>
    </row>
    <row r="35" spans="3:4" x14ac:dyDescent="0.2">
      <c r="C35" s="8"/>
      <c r="D35" s="8"/>
    </row>
    <row r="36" spans="3:4" x14ac:dyDescent="0.2">
      <c r="C36" s="8"/>
      <c r="D36" s="8"/>
    </row>
    <row r="37" spans="3:4" x14ac:dyDescent="0.2">
      <c r="C37" s="8"/>
      <c r="D37" s="8"/>
    </row>
    <row r="38" spans="3:4" x14ac:dyDescent="0.2">
      <c r="C38" s="8"/>
      <c r="D38" s="8"/>
    </row>
    <row r="39" spans="3:4" x14ac:dyDescent="0.2">
      <c r="C39" s="8"/>
      <c r="D39" s="8"/>
    </row>
    <row r="40" spans="3:4" x14ac:dyDescent="0.2">
      <c r="C40" s="8"/>
      <c r="D40" s="8"/>
    </row>
    <row r="41" spans="3:4" x14ac:dyDescent="0.2">
      <c r="C41" s="8"/>
      <c r="D41" s="8"/>
    </row>
    <row r="42" spans="3:4" x14ac:dyDescent="0.2">
      <c r="C42" s="8"/>
      <c r="D42" s="8"/>
    </row>
    <row r="43" spans="3:4" x14ac:dyDescent="0.2">
      <c r="C43" s="8"/>
      <c r="D43" s="8"/>
    </row>
    <row r="44" spans="3:4" x14ac:dyDescent="0.2">
      <c r="C44" s="8"/>
      <c r="D44" s="8"/>
    </row>
    <row r="45" spans="3:4" x14ac:dyDescent="0.2">
      <c r="C45" s="8"/>
      <c r="D45" s="8"/>
    </row>
    <row r="46" spans="3:4" x14ac:dyDescent="0.2">
      <c r="C46" s="8"/>
      <c r="D46" s="8"/>
    </row>
    <row r="47" spans="3:4" x14ac:dyDescent="0.2">
      <c r="C47" s="8"/>
      <c r="D47" s="8"/>
    </row>
    <row r="48" spans="3:4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39"/>
  <sheetViews>
    <sheetView workbookViewId="0">
      <selection activeCell="R18" sqref="R18:R26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47</v>
      </c>
      <c r="F1" s="34" t="s">
        <v>41</v>
      </c>
      <c r="G1" s="30" t="s">
        <v>42</v>
      </c>
      <c r="H1" s="35"/>
      <c r="I1" s="36" t="s">
        <v>43</v>
      </c>
      <c r="J1" s="37" t="s">
        <v>41</v>
      </c>
      <c r="K1" s="38">
        <v>22.2257</v>
      </c>
      <c r="L1" s="38">
        <v>51.370010000000001</v>
      </c>
      <c r="M1" s="39">
        <v>53259.390899999999</v>
      </c>
      <c r="N1" s="39">
        <v>0.48529</v>
      </c>
      <c r="O1" s="40" t="s">
        <v>44</v>
      </c>
      <c r="P1" s="40">
        <v>12.4</v>
      </c>
      <c r="Q1" s="40">
        <v>12.6</v>
      </c>
      <c r="R1" s="41" t="s">
        <v>45</v>
      </c>
      <c r="S1" s="42" t="s">
        <v>46</v>
      </c>
    </row>
    <row r="2" spans="1:19" x14ac:dyDescent="0.2">
      <c r="A2" t="s">
        <v>23</v>
      </c>
      <c r="B2" t="s">
        <v>44</v>
      </c>
      <c r="C2" s="29"/>
      <c r="D2" s="3"/>
    </row>
    <row r="3" spans="1:19" ht="13.5" thickBot="1" x14ac:dyDescent="0.25"/>
    <row r="4" spans="1:19" ht="14.25" thickTop="1" thickBot="1" x14ac:dyDescent="0.25">
      <c r="A4" s="5" t="s">
        <v>0</v>
      </c>
      <c r="C4" s="26">
        <v>53259.390899999999</v>
      </c>
      <c r="D4" s="27">
        <v>0.48529</v>
      </c>
    </row>
    <row r="5" spans="1:19" ht="13.5" thickTop="1" x14ac:dyDescent="0.2">
      <c r="A5" s="9" t="s">
        <v>28</v>
      </c>
      <c r="B5" s="10"/>
      <c r="C5" s="11">
        <v>8</v>
      </c>
      <c r="D5" s="10" t="s">
        <v>29</v>
      </c>
      <c r="E5" s="10"/>
    </row>
    <row r="6" spans="1:19" x14ac:dyDescent="0.2">
      <c r="A6" s="5" t="s">
        <v>1</v>
      </c>
    </row>
    <row r="7" spans="1:19" x14ac:dyDescent="0.2">
      <c r="A7" t="s">
        <v>2</v>
      </c>
      <c r="C7" s="8">
        <v>53259.390899999999</v>
      </c>
      <c r="D7" s="28" t="s">
        <v>48</v>
      </c>
    </row>
    <row r="8" spans="1:19" x14ac:dyDescent="0.2">
      <c r="A8" t="s">
        <v>3</v>
      </c>
      <c r="C8" s="8">
        <f>N1</f>
        <v>0.48529</v>
      </c>
      <c r="D8" s="28" t="str">
        <f>D7</f>
        <v>GCVS</v>
      </c>
      <c r="E8">
        <v>0.22469</v>
      </c>
    </row>
    <row r="9" spans="1:19" x14ac:dyDescent="0.2">
      <c r="A9" s="24" t="s">
        <v>32</v>
      </c>
      <c r="B9" s="33">
        <v>22</v>
      </c>
      <c r="C9" s="22" t="str">
        <f>"F"&amp;B9</f>
        <v>F22</v>
      </c>
      <c r="D9" s="23" t="str">
        <f>"G"&amp;B9</f>
        <v>G22</v>
      </c>
    </row>
    <row r="10" spans="1:19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9" x14ac:dyDescent="0.2">
      <c r="A11" s="10" t="s">
        <v>15</v>
      </c>
      <c r="B11" s="10"/>
      <c r="C11" s="21">
        <f ca="1">INTERCEPT(INDIRECT($D$9):G991,INDIRECT($C$9):F991)</f>
        <v>9.8227907128944844E-3</v>
      </c>
      <c r="D11" s="3"/>
      <c r="E11" s="10"/>
    </row>
    <row r="12" spans="1:19" x14ac:dyDescent="0.2">
      <c r="A12" s="10" t="s">
        <v>16</v>
      </c>
      <c r="B12" s="10"/>
      <c r="C12" s="21">
        <f ca="1">SLOPE(INDIRECT($D$9):G991,INDIRECT($C$9):F991)</f>
        <v>8.6895515019200369E-6</v>
      </c>
      <c r="D12" s="3"/>
      <c r="E12" s="10"/>
    </row>
    <row r="13" spans="1:19" x14ac:dyDescent="0.2">
      <c r="A13" s="10" t="s">
        <v>18</v>
      </c>
      <c r="B13" s="10"/>
      <c r="C13" s="3" t="s">
        <v>13</v>
      </c>
    </row>
    <row r="14" spans="1:19" x14ac:dyDescent="0.2">
      <c r="A14" s="10"/>
      <c r="B14" s="10"/>
      <c r="C14" s="10"/>
    </row>
    <row r="15" spans="1:19" x14ac:dyDescent="0.2">
      <c r="A15" s="12" t="s">
        <v>17</v>
      </c>
      <c r="B15" s="10"/>
      <c r="C15" s="13">
        <f ca="1">(C7+C11)+(C8+C12)*INT(MAX(F21:F3532))</f>
        <v>57345.13039012481</v>
      </c>
      <c r="E15" s="14" t="s">
        <v>34</v>
      </c>
      <c r="F15" s="31">
        <v>1</v>
      </c>
    </row>
    <row r="16" spans="1:19" x14ac:dyDescent="0.2">
      <c r="A16" s="16" t="s">
        <v>4</v>
      </c>
      <c r="B16" s="10"/>
      <c r="C16" s="17">
        <f ca="1">+C8+C12</f>
        <v>0.48529868955150191</v>
      </c>
      <c r="E16" s="14" t="s">
        <v>30</v>
      </c>
      <c r="F16" s="32">
        <f ca="1">NOW()+15018.5+$C$5/24</f>
        <v>60358.451691087968</v>
      </c>
    </row>
    <row r="17" spans="1:21" ht="13.5" thickBot="1" x14ac:dyDescent="0.25">
      <c r="A17" s="14" t="s">
        <v>27</v>
      </c>
      <c r="B17" s="10"/>
      <c r="C17" s="10">
        <f>COUNT(C21:C2190)</f>
        <v>6</v>
      </c>
      <c r="E17" s="14" t="s">
        <v>35</v>
      </c>
      <c r="F17" s="15">
        <f ca="1">ROUND(2*(F16-$C$7)/$C$8,0)/2+F15</f>
        <v>14629.5</v>
      </c>
    </row>
    <row r="18" spans="1:21" ht="14.25" thickTop="1" thickBot="1" x14ac:dyDescent="0.25">
      <c r="A18" s="16" t="s">
        <v>5</v>
      </c>
      <c r="B18" s="10"/>
      <c r="C18" s="19">
        <f ca="1">+C15</f>
        <v>57345.13039012481</v>
      </c>
      <c r="D18" s="20">
        <f ca="1">+C16</f>
        <v>0.48529868955150191</v>
      </c>
      <c r="E18" s="14" t="s">
        <v>36</v>
      </c>
      <c r="F18" s="23">
        <f ca="1">ROUND(2*(F16-$C$15)/$C$16,0)/2+F15</f>
        <v>6210</v>
      </c>
      <c r="R18">
        <f ca="1">SQRT(SUM(R21:R26)/6)</f>
        <v>3.0129044995733337E-2</v>
      </c>
    </row>
    <row r="19" spans="1:21" ht="13.5" thickTop="1" x14ac:dyDescent="0.2">
      <c r="E19" s="14" t="s">
        <v>31</v>
      </c>
      <c r="F19" s="18">
        <f ca="1">+$C$15+$C$16*F18-15018.5-$C$5/24</f>
        <v>45340.001918906302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38</v>
      </c>
      <c r="J20" s="7" t="s">
        <v>39</v>
      </c>
      <c r="K20" s="7" t="s">
        <v>40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5" t="s">
        <v>33</v>
      </c>
    </row>
    <row r="21" spans="1:21" x14ac:dyDescent="0.2">
      <c r="A21" s="46" t="s">
        <v>52</v>
      </c>
      <c r="B21" s="47" t="s">
        <v>50</v>
      </c>
      <c r="C21" s="46">
        <v>53233.437100000003</v>
      </c>
      <c r="D21" s="46">
        <v>8.0000000000000002E-3</v>
      </c>
      <c r="E21">
        <f t="shared" ref="E21:E26" si="0">+(C21-C$7)/C$8</f>
        <v>-53.481011354026833</v>
      </c>
      <c r="F21">
        <f t="shared" ref="F21:F26" si="1">ROUND(2*E21,0)/2</f>
        <v>-53.5</v>
      </c>
      <c r="G21">
        <f t="shared" ref="G21:G26" si="2">+C21-(C$7+F21*C$8)</f>
        <v>9.2150000054971315E-3</v>
      </c>
      <c r="K21">
        <f t="shared" ref="K21:K26" si="3">+G21</f>
        <v>9.2150000054971315E-3</v>
      </c>
      <c r="O21">
        <f t="shared" ref="O21:O26" ca="1" si="4">+C$11+C$12*$F21</f>
        <v>9.3578997075417624E-3</v>
      </c>
      <c r="Q21" s="2">
        <f t="shared" ref="Q21:Q26" si="5">+C21-15018.5</f>
        <v>38214.937100000003</v>
      </c>
      <c r="R21">
        <f t="shared" ref="R21:R26" ca="1" si="6">(O21-G21)^2</f>
        <v>2.0420324844444293E-8</v>
      </c>
    </row>
    <row r="22" spans="1:21" x14ac:dyDescent="0.2">
      <c r="A22" s="46" t="s">
        <v>52</v>
      </c>
      <c r="B22" s="47" t="s">
        <v>50</v>
      </c>
      <c r="C22" s="46">
        <v>53259.390899999999</v>
      </c>
      <c r="D22" s="46">
        <v>2.3E-3</v>
      </c>
      <c r="E22">
        <f t="shared" si="0"/>
        <v>0</v>
      </c>
      <c r="F22">
        <f t="shared" si="1"/>
        <v>0</v>
      </c>
      <c r="G22">
        <f t="shared" si="2"/>
        <v>0</v>
      </c>
      <c r="K22">
        <f t="shared" si="3"/>
        <v>0</v>
      </c>
      <c r="O22">
        <f t="shared" ca="1" si="4"/>
        <v>9.8227907128944844E-3</v>
      </c>
      <c r="Q22" s="2">
        <f t="shared" si="5"/>
        <v>38240.890899999999</v>
      </c>
      <c r="R22">
        <f t="shared" ca="1" si="6"/>
        <v>9.6487217389326131E-5</v>
      </c>
    </row>
    <row r="23" spans="1:21" x14ac:dyDescent="0.2">
      <c r="A23" s="48" t="s">
        <v>53</v>
      </c>
      <c r="B23" s="49" t="s">
        <v>50</v>
      </c>
      <c r="C23" s="50">
        <v>56132.41</v>
      </c>
      <c r="D23" s="50">
        <v>4.5999999999999999E-3</v>
      </c>
      <c r="E23">
        <f t="shared" si="0"/>
        <v>5920.2108017886312</v>
      </c>
      <c r="F23">
        <f t="shared" si="1"/>
        <v>5920</v>
      </c>
      <c r="G23">
        <f t="shared" si="2"/>
        <v>0.10230000000592554</v>
      </c>
      <c r="K23">
        <f t="shared" si="3"/>
        <v>0.10230000000592554</v>
      </c>
      <c r="O23">
        <f t="shared" ca="1" si="4"/>
        <v>6.1264935604261106E-2</v>
      </c>
      <c r="Q23" s="2">
        <f t="shared" si="5"/>
        <v>41113.910000000003</v>
      </c>
      <c r="R23">
        <f t="shared" ca="1" si="6"/>
        <v>1.6838765104487477E-3</v>
      </c>
    </row>
    <row r="24" spans="1:21" x14ac:dyDescent="0.2">
      <c r="A24" s="51" t="s">
        <v>54</v>
      </c>
      <c r="B24" s="52"/>
      <c r="C24" s="51">
        <v>56934.554799999998</v>
      </c>
      <c r="D24" s="51">
        <v>8.3999999999999995E-3</v>
      </c>
      <c r="E24">
        <f t="shared" si="0"/>
        <v>7573.1292629149575</v>
      </c>
      <c r="F24">
        <f t="shared" si="1"/>
        <v>7573</v>
      </c>
      <c r="G24">
        <f t="shared" si="2"/>
        <v>6.272999999782769E-2</v>
      </c>
      <c r="K24">
        <f t="shared" si="3"/>
        <v>6.272999999782769E-2</v>
      </c>
      <c r="O24">
        <f t="shared" ca="1" si="4"/>
        <v>7.5628764236934931E-2</v>
      </c>
      <c r="Q24" s="2">
        <f t="shared" si="5"/>
        <v>41916.054799999998</v>
      </c>
      <c r="R24">
        <f t="shared" ca="1" si="6"/>
        <v>1.6637811889607179E-4</v>
      </c>
    </row>
    <row r="25" spans="1:21" x14ac:dyDescent="0.2">
      <c r="A25" s="43" t="s">
        <v>49</v>
      </c>
      <c r="B25" s="44" t="s">
        <v>51</v>
      </c>
      <c r="C25" s="45">
        <v>57258.454599999997</v>
      </c>
      <c r="D25" s="45">
        <v>1.1000000000000001E-3</v>
      </c>
      <c r="E25">
        <f t="shared" si="0"/>
        <v>8240.5648169135948</v>
      </c>
      <c r="F25">
        <f t="shared" si="1"/>
        <v>8240.5</v>
      </c>
      <c r="G25">
        <f t="shared" si="2"/>
        <v>3.1454999996640254E-2</v>
      </c>
      <c r="K25">
        <f t="shared" si="3"/>
        <v>3.1454999996640254E-2</v>
      </c>
      <c r="O25">
        <f t="shared" ca="1" si="4"/>
        <v>8.1429039864466563E-2</v>
      </c>
      <c r="Q25" s="2">
        <f t="shared" si="5"/>
        <v>42239.954599999997</v>
      </c>
      <c r="R25">
        <f t="shared" ca="1" si="6"/>
        <v>2.4974046607110934E-3</v>
      </c>
    </row>
    <row r="26" spans="1:21" x14ac:dyDescent="0.2">
      <c r="A26" s="43" t="s">
        <v>49</v>
      </c>
      <c r="B26" s="44" t="s">
        <v>50</v>
      </c>
      <c r="C26" s="45">
        <v>57345.404699999999</v>
      </c>
      <c r="D26" s="45">
        <v>2.5000000000000001E-3</v>
      </c>
      <c r="E26">
        <f t="shared" si="0"/>
        <v>8419.7362401862811</v>
      </c>
      <c r="F26">
        <f t="shared" si="1"/>
        <v>8419.5</v>
      </c>
      <c r="G26">
        <f t="shared" si="2"/>
        <v>0.11464500000147382</v>
      </c>
      <c r="K26">
        <f t="shared" si="3"/>
        <v>0.11464500000147382</v>
      </c>
      <c r="O26">
        <f t="shared" ca="1" si="4"/>
        <v>8.2984469583310239E-2</v>
      </c>
      <c r="Q26" s="2">
        <f t="shared" si="5"/>
        <v>42326.904699999999</v>
      </c>
      <c r="R26">
        <f t="shared" ca="1" si="6"/>
        <v>1.0023891863594613E-3</v>
      </c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4" x14ac:dyDescent="0.2">
      <c r="C33" s="8"/>
      <c r="D33" s="8"/>
    </row>
    <row r="34" spans="3:4" x14ac:dyDescent="0.2">
      <c r="C34" s="8"/>
      <c r="D34" s="8"/>
    </row>
    <row r="35" spans="3:4" x14ac:dyDescent="0.2">
      <c r="C35" s="8"/>
      <c r="D35" s="8"/>
    </row>
    <row r="36" spans="3:4" x14ac:dyDescent="0.2">
      <c r="C36" s="8"/>
      <c r="D36" s="8"/>
    </row>
    <row r="37" spans="3:4" x14ac:dyDescent="0.2">
      <c r="C37" s="8"/>
      <c r="D37" s="8"/>
    </row>
    <row r="38" spans="3:4" x14ac:dyDescent="0.2">
      <c r="C38" s="8"/>
      <c r="D38" s="8"/>
    </row>
    <row r="39" spans="3:4" x14ac:dyDescent="0.2">
      <c r="C39" s="8"/>
      <c r="D39" s="8"/>
    </row>
    <row r="40" spans="3:4" x14ac:dyDescent="0.2">
      <c r="C40" s="8"/>
      <c r="D40" s="8"/>
    </row>
    <row r="41" spans="3:4" x14ac:dyDescent="0.2">
      <c r="C41" s="8"/>
      <c r="D41" s="8"/>
    </row>
    <row r="42" spans="3:4" x14ac:dyDescent="0.2">
      <c r="C42" s="8"/>
      <c r="D42" s="8"/>
    </row>
    <row r="43" spans="3:4" x14ac:dyDescent="0.2">
      <c r="C43" s="8"/>
      <c r="D43" s="8"/>
    </row>
    <row r="44" spans="3:4" x14ac:dyDescent="0.2">
      <c r="C44" s="8"/>
      <c r="D44" s="8"/>
    </row>
    <row r="45" spans="3:4" x14ac:dyDescent="0.2">
      <c r="C45" s="8"/>
      <c r="D45" s="8"/>
    </row>
    <row r="46" spans="3:4" x14ac:dyDescent="0.2">
      <c r="C46" s="8"/>
      <c r="D46" s="8"/>
    </row>
    <row r="47" spans="3:4" x14ac:dyDescent="0.2">
      <c r="C47" s="8"/>
      <c r="D47" s="8"/>
    </row>
    <row r="48" spans="3:4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</sheetData>
  <sheetProtection sheet="1"/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A (old)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2024-02-17T04:20:26Z</dcterms:modified>
</cp:coreProperties>
</file>