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A0FA79-3021-4B04-A9B1-1718AF1A936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29" i="1" l="1"/>
  <c r="C13" i="1"/>
  <c r="Q27" i="1"/>
  <c r="Q28" i="1"/>
  <c r="G15" i="2"/>
  <c r="C15" i="2"/>
  <c r="G14" i="2"/>
  <c r="C14" i="2"/>
  <c r="G13" i="2"/>
  <c r="C13" i="2"/>
  <c r="G12" i="2"/>
  <c r="C12" i="2"/>
  <c r="G16" i="2"/>
  <c r="C16" i="2"/>
  <c r="G17" i="2"/>
  <c r="C17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6" i="2"/>
  <c r="B16" i="2"/>
  <c r="D16" i="2"/>
  <c r="A16" i="2"/>
  <c r="H17" i="2"/>
  <c r="D17" i="2"/>
  <c r="B17" i="2"/>
  <c r="A17" i="2"/>
  <c r="Q22" i="1"/>
  <c r="Q23" i="1"/>
  <c r="Q24" i="1"/>
  <c r="Q25" i="1"/>
  <c r="Q26" i="1"/>
  <c r="C7" i="1"/>
  <c r="E29" i="1"/>
  <c r="F29" i="1"/>
  <c r="C8" i="1"/>
  <c r="E25" i="1"/>
  <c r="F25" i="1"/>
  <c r="F12" i="1"/>
  <c r="F13" i="1" s="1"/>
  <c r="D14" i="1"/>
  <c r="D13" i="1"/>
  <c r="C14" i="1"/>
  <c r="C17" i="1"/>
  <c r="Q21" i="1"/>
  <c r="E12" i="2"/>
  <c r="E13" i="2"/>
  <c r="E14" i="2"/>
  <c r="E22" i="1"/>
  <c r="F22" i="1"/>
  <c r="G25" i="1"/>
  <c r="G23" i="1"/>
  <c r="G27" i="1"/>
  <c r="E26" i="1"/>
  <c r="F26" i="1"/>
  <c r="E23" i="1"/>
  <c r="F23" i="1"/>
  <c r="E27" i="1"/>
  <c r="F27" i="1"/>
  <c r="G21" i="1"/>
  <c r="G26" i="1"/>
  <c r="G29" i="1"/>
  <c r="E24" i="1"/>
  <c r="F24" i="1"/>
  <c r="G24" i="1"/>
  <c r="E21" i="1"/>
  <c r="F21" i="1"/>
  <c r="G22" i="1"/>
  <c r="E28" i="1"/>
  <c r="F28" i="1"/>
  <c r="G28" i="1"/>
  <c r="I28" i="1"/>
  <c r="R28" i="1"/>
  <c r="S24" i="1"/>
  <c r="I24" i="1"/>
  <c r="S26" i="1"/>
  <c r="I26" i="1"/>
  <c r="E17" i="2"/>
  <c r="I22" i="1"/>
  <c r="R22" i="1"/>
  <c r="S25" i="1"/>
  <c r="I25" i="1"/>
  <c r="R23" i="1"/>
  <c r="I23" i="1"/>
  <c r="E15" i="2"/>
  <c r="R27" i="1"/>
  <c r="I27" i="1"/>
  <c r="T21" i="1"/>
  <c r="H21" i="1"/>
  <c r="I29" i="1"/>
  <c r="S29" i="1"/>
  <c r="E16" i="2"/>
  <c r="S19" i="1"/>
  <c r="E19" i="1"/>
  <c r="R19" i="1"/>
  <c r="E18" i="1"/>
  <c r="D12" i="1"/>
  <c r="D11" i="1"/>
  <c r="C11" i="1"/>
  <c r="P29" i="1" l="1"/>
  <c r="P28" i="1"/>
  <c r="P24" i="1"/>
  <c r="P26" i="1"/>
  <c r="P23" i="1"/>
  <c r="P21" i="1"/>
  <c r="P22" i="1"/>
  <c r="D15" i="1"/>
  <c r="C19" i="1" s="1"/>
  <c r="P25" i="1"/>
  <c r="P27" i="1"/>
  <c r="D16" i="1"/>
  <c r="D19" i="1" s="1"/>
  <c r="C12" i="1"/>
  <c r="C16" i="1" l="1"/>
  <c r="D18" i="1" s="1"/>
  <c r="O22" i="1"/>
  <c r="O28" i="1"/>
  <c r="O23" i="1"/>
  <c r="O26" i="1"/>
  <c r="O27" i="1"/>
  <c r="O21" i="1"/>
  <c r="O29" i="1"/>
  <c r="O24" i="1"/>
  <c r="C15" i="1"/>
  <c r="O25" i="1"/>
  <c r="C18" i="1" l="1"/>
  <c r="F14" i="1"/>
  <c r="F15" i="1" s="1"/>
</calcChain>
</file>

<file path=xl/sharedStrings.xml><?xml version="1.0" encoding="utf-8"?>
<sst xmlns="http://schemas.openxmlformats.org/spreadsheetml/2006/main" count="129" uniqueCount="95">
  <si>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</si>
  <si>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</si>
  <si>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</si>
  <si>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</si>
  <si>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</si>
  <si>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</si>
  <si>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</si>
  <si>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</si>
  <si>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</si>
  <si>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</si>
  <si>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</si>
  <si>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</si>
  <si>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</si>
  <si>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</si>
  <si>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</si>
  <si>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</si>
  <si>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</si>
  <si>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</si>
  <si>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</si>
  <si>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</si>
  <si>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</si>
  <si>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</si>
  <si>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</si>
  <si>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</si>
  <si>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</si>
  <si>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</si>
  <si>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</si>
  <si>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</si>
  <si>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</si>
  <si>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</si>
  <si>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</si>
  <si>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</si>
  <si>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</si>
  <si>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</si>
  <si>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</si>
  <si>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</si>
  <si>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</si>
  <si>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</si>
  <si>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</si>
  <si>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</si>
  <si>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</si>
  <si>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VV Lac / GSC na</t>
  </si>
  <si>
    <t>EA</t>
  </si>
  <si>
    <t>Malkov</t>
  </si>
  <si>
    <t>IBVS 5984</t>
  </si>
  <si>
    <t>IBVS 6011</t>
  </si>
  <si>
    <t>I</t>
  </si>
  <si>
    <t>IBVS 6070</t>
  </si>
  <si>
    <t>II</t>
  </si>
  <si>
    <t>IBVS 6118</t>
  </si>
  <si>
    <t>BAD?</t>
  </si>
  <si>
    <t>IBVS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</si>
  <si>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</si>
  <si>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</si>
  <si>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</si>
  <si>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</si>
  <si>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</si>
  <si>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</si>
  <si>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</si>
  <si>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</si>
  <si>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</si>
  <si>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</si>
  <si>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</si>
  <si>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2455801.4879 </t>
  </si>
  <si>
    <t> 27.08.2011 23:42 </t>
  </si>
  <si>
    <t> -0.8282 </t>
  </si>
  <si>
    <t>C </t>
  </si>
  <si>
    <t>-I</t>
  </si>
  <si>
    <t> F.Agerer </t>
  </si>
  <si>
    <t>BAVM 225 </t>
  </si>
  <si>
    <t>2455839.4833 </t>
  </si>
  <si>
    <t> 04.10.2011 23:35 </t>
  </si>
  <si>
    <t>9074</t>
  </si>
  <si>
    <t> -0.8345 </t>
  </si>
  <si>
    <t>2455863.6671 </t>
  </si>
  <si>
    <t> 29.10.2011 04:00 </t>
  </si>
  <si>
    <t>9081</t>
  </si>
  <si>
    <t> -0.8336 </t>
  </si>
  <si>
    <t> R.Diethelm </t>
  </si>
  <si>
    <t>IBVS 6011 </t>
  </si>
  <si>
    <t>2456188.3625 </t>
  </si>
  <si>
    <t> 17.09.2012 20:42 </t>
  </si>
  <si>
    <t>9175</t>
  </si>
  <si>
    <t> -0.8800 </t>
  </si>
  <si>
    <t>BAVM 231 </t>
  </si>
  <si>
    <t>2456568.3309 </t>
  </si>
  <si>
    <t> 02.10.2013 19:56 </t>
  </si>
  <si>
    <t>9285</t>
  </si>
  <si>
    <t> -0.9286 </t>
  </si>
  <si>
    <t>BAVM 234 </t>
  </si>
  <si>
    <t>2456592.5069 </t>
  </si>
  <si>
    <t> 27.10.2013 00:09 </t>
  </si>
  <si>
    <t>9292</t>
  </si>
  <si>
    <t> -0.9355 </t>
  </si>
  <si>
    <t>IBVS 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</si>
</sst>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Lac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5.3E-3</c:v>
                  </c:pt>
                  <c:pt idx="4">
                    <c:v>3.0999999999999999E-3</c:v>
                  </c:pt>
                  <c:pt idx="5">
                    <c:v>4.1000000000000003E-3</c:v>
                  </c:pt>
                  <c:pt idx="8">
                    <c:v>1.4E-3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5.3E-3</c:v>
                  </c:pt>
                  <c:pt idx="4">
                    <c:v>3.0999999999999999E-3</c:v>
                  </c:pt>
                  <c:pt idx="5">
                    <c:v>4.1000000000000003E-3</c:v>
                  </c:pt>
                  <c:pt idx="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7-4D5C-9851-481D8FBF4E8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-0.76899999999295687</c:v>
                </c:pt>
                <c:pt idx="2">
                  <c:v>-0.83359999999811407</c:v>
                </c:pt>
                <c:pt idx="3">
                  <c:v>0.8473500000036438</c:v>
                </c:pt>
                <c:pt idx="4">
                  <c:v>0.79875000000174623</c:v>
                </c:pt>
                <c:pt idx="5">
                  <c:v>0.79185000000143191</c:v>
                </c:pt>
                <c:pt idx="6">
                  <c:v>-0.83449999999720603</c:v>
                </c:pt>
                <c:pt idx="7">
                  <c:v>-0.82819999999628635</c:v>
                </c:pt>
                <c:pt idx="8">
                  <c:v>0.68615000000863802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67-4D5C-9851-481D8FBF4E8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67-4D5C-9851-481D8FBF4E8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67-4D5C-9851-481D8FBF4E8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67-4D5C-9851-481D8FBF4E8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67-4D5C-9851-481D8FBF4E8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67-4D5C-9851-481D8FBF4E8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4.6240915791762038E-4</c:v>
                </c:pt>
                <c:pt idx="1">
                  <c:v>-0.80948785199478879</c:v>
                </c:pt>
                <c:pt idx="2">
                  <c:v>-0.81951064786858474</c:v>
                </c:pt>
                <c:pt idx="3">
                  <c:v>-0.82795327322173728</c:v>
                </c:pt>
                <c:pt idx="4">
                  <c:v>-0.83788577363721084</c:v>
                </c:pt>
                <c:pt idx="5">
                  <c:v>-0.83851784184546829</c:v>
                </c:pt>
                <c:pt idx="6">
                  <c:v>-0.8188785796603274</c:v>
                </c:pt>
                <c:pt idx="7">
                  <c:v>-0.81788532961878002</c:v>
                </c:pt>
                <c:pt idx="8">
                  <c:v>-0.85820225175977038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67-4D5C-9851-481D8FBF4E88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5.2871501374215804</c:v>
                </c:pt>
                <c:pt idx="1">
                  <c:v>0.94791852361192852</c:v>
                </c:pt>
                <c:pt idx="2">
                  <c:v>0.89422234645107324</c:v>
                </c:pt>
                <c:pt idx="3">
                  <c:v>0.84899178280656873</c:v>
                </c:pt>
                <c:pt idx="4">
                  <c:v>0.79577935498950492</c:v>
                </c:pt>
                <c:pt idx="5">
                  <c:v>0.79239310958296461</c:v>
                </c:pt>
                <c:pt idx="6">
                  <c:v>0.89760859185761355</c:v>
                </c:pt>
                <c:pt idx="7">
                  <c:v>0.90292983463931975</c:v>
                </c:pt>
                <c:pt idx="8">
                  <c:v>0.68693575263642082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67-4D5C-9851-481D8FBF4E88}"/>
            </c:ext>
          </c:extLst>
        </c:ser>
        <c:ser>
          <c:idx val="10"/>
          <c:order val="9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-0.76899999999295687</c:v>
                </c:pt>
                <c:pt idx="2">
                  <c:v>-0.83359999999811407</c:v>
                </c:pt>
                <c:pt idx="6">
                  <c:v>-0.83449999999720603</c:v>
                </c:pt>
                <c:pt idx="7">
                  <c:v>-0.82819999999628635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967-4D5C-9851-481D8FBF4E88}"/>
            </c:ext>
          </c:extLst>
        </c:ser>
        <c:ser>
          <c:idx val="11"/>
          <c:order val="1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3">
                  <c:v>0.8473500000036438</c:v>
                </c:pt>
                <c:pt idx="4">
                  <c:v>0.79875000000174623</c:v>
                </c:pt>
                <c:pt idx="5">
                  <c:v>0.79185000000143191</c:v>
                </c:pt>
                <c:pt idx="8">
                  <c:v>0.68615000000863802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967-4D5C-9851-481D8FBF4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650568"/>
        <c:axId val="1"/>
      </c:scatterChart>
      <c:valAx>
        <c:axId val="879650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650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15079782744685"/>
          <c:y val="0.90058513328035827"/>
          <c:w val="0.82039247616116096"/>
          <c:h val="7.80132758634528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Lac - Prim. O-C Diagr.</a:t>
            </a:r>
          </a:p>
        </c:rich>
      </c:tx>
      <c:layout>
        <c:manualLayout>
          <c:xMode val="edge"/>
          <c:yMode val="edge"/>
          <c:x val="0.29937651764423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45128907395996"/>
          <c:y val="0.14634168126798494"/>
          <c:w val="0.79210059619099638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-0.76899999999295687</c:v>
                </c:pt>
                <c:pt idx="2">
                  <c:v>-0.83359999999811407</c:v>
                </c:pt>
                <c:pt idx="6">
                  <c:v>-0.83449999999720603</c:v>
                </c:pt>
                <c:pt idx="7">
                  <c:v>-0.82819999999628635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E8-42BF-8992-FD4E9A6967C8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4.6240915791762038E-4</c:v>
                </c:pt>
                <c:pt idx="1">
                  <c:v>-0.80948785199478879</c:v>
                </c:pt>
                <c:pt idx="2">
                  <c:v>-0.81951064786858474</c:v>
                </c:pt>
                <c:pt idx="3">
                  <c:v>-0.82795327322173728</c:v>
                </c:pt>
                <c:pt idx="4">
                  <c:v>-0.83788577363721084</c:v>
                </c:pt>
                <c:pt idx="5">
                  <c:v>-0.83851784184546829</c:v>
                </c:pt>
                <c:pt idx="6">
                  <c:v>-0.8188785796603274</c:v>
                </c:pt>
                <c:pt idx="7">
                  <c:v>-0.81788532961878002</c:v>
                </c:pt>
                <c:pt idx="8">
                  <c:v>-0.85820225175977038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E8-42BF-8992-FD4E9A69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278416"/>
        <c:axId val="1"/>
      </c:scatterChart>
      <c:valAx>
        <c:axId val="92527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3559458913788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278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85282738826044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Lac - Sec. O-C Diagr.</a:t>
            </a:r>
          </a:p>
        </c:rich>
      </c:tx>
      <c:layout>
        <c:manualLayout>
          <c:xMode val="edge"/>
          <c:yMode val="edge"/>
          <c:x val="0.308163479565054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9401177257231"/>
          <c:y val="0.1458966565349544"/>
          <c:w val="0.80204161555486242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3">
                  <c:v>0.8473500000036438</c:v>
                </c:pt>
                <c:pt idx="4">
                  <c:v>0.79875000000174623</c:v>
                </c:pt>
                <c:pt idx="5">
                  <c:v>0.79185000000143191</c:v>
                </c:pt>
                <c:pt idx="8">
                  <c:v>0.68615000000863802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A9-4E06-AE97-7D261EC13720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8970</c:v>
                </c:pt>
                <c:pt idx="2">
                  <c:v>9081</c:v>
                </c:pt>
                <c:pt idx="3">
                  <c:v>9174.5</c:v>
                </c:pt>
                <c:pt idx="4">
                  <c:v>9284.5</c:v>
                </c:pt>
                <c:pt idx="5">
                  <c:v>9291.5</c:v>
                </c:pt>
                <c:pt idx="6">
                  <c:v>9074</c:v>
                </c:pt>
                <c:pt idx="7">
                  <c:v>9063</c:v>
                </c:pt>
                <c:pt idx="8">
                  <c:v>9509.5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5.2871501374215804</c:v>
                </c:pt>
                <c:pt idx="1">
                  <c:v>0.94791852361192852</c:v>
                </c:pt>
                <c:pt idx="2">
                  <c:v>0.89422234645107324</c:v>
                </c:pt>
                <c:pt idx="3">
                  <c:v>0.84899178280656873</c:v>
                </c:pt>
                <c:pt idx="4">
                  <c:v>0.79577935498950492</c:v>
                </c:pt>
                <c:pt idx="5">
                  <c:v>0.79239310958296461</c:v>
                </c:pt>
                <c:pt idx="6">
                  <c:v>0.89760859185761355</c:v>
                </c:pt>
                <c:pt idx="7">
                  <c:v>0.90292983463931975</c:v>
                </c:pt>
                <c:pt idx="8">
                  <c:v>0.68693575263642082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A9-4E06-AE97-7D261EC13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644808"/>
        <c:axId val="1"/>
      </c:scatterChart>
      <c:valAx>
        <c:axId val="87964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1228774974556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64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938818361990461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76200</xdr:rowOff>
    </xdr:from>
    <xdr:to>
      <xdr:col>18</xdr:col>
      <xdr:colOff>657224</xdr:colOff>
      <xdr:row>18</xdr:row>
      <xdr:rowOff>104775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9D345A0E-022F-1F6C-6FC1-EA93A66C7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12</xdr:col>
      <xdr:colOff>152400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11F7F2-926F-85BF-70C5-F28C51B87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21</xdr:row>
      <xdr:rowOff>66675</xdr:rowOff>
    </xdr:from>
    <xdr:to>
      <xdr:col>12</xdr:col>
      <xdr:colOff>190499</xdr:colOff>
      <xdr:row>41</xdr:row>
      <xdr:rowOff>76200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82DCD74-6168-D8A4-0567-6F76EFA86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225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workbookViewId="0">
      <pane xSplit="12" ySplit="21" topLeftCell="M22" activePane="bottomRight" state="frozen"/>
      <selection pane="topRight" activeCell="M1" sqref="M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17</v>
      </c>
      <c r="B2" s="10" t="s">
        <v>42</v>
      </c>
    </row>
    <row r="3" spans="1:6" ht="13.5" thickBot="1" x14ac:dyDescent="0.25">
      <c r="C3" s="11"/>
    </row>
    <row r="4" spans="1:6" ht="14.25" thickTop="1" thickBot="1" x14ac:dyDescent="0.25">
      <c r="A4" s="6" t="s">
        <v>0</v>
      </c>
      <c r="C4" s="3">
        <v>24492.37</v>
      </c>
      <c r="D4" s="4">
        <v>3.4546999999999999</v>
      </c>
    </row>
    <row r="5" spans="1:6" ht="13.5" thickTop="1" x14ac:dyDescent="0.2">
      <c r="A5" s="28" t="s">
        <v>33</v>
      </c>
      <c r="B5" s="22"/>
      <c r="C5" s="29">
        <v>-9.5</v>
      </c>
      <c r="D5" s="22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24492.37</v>
      </c>
    </row>
    <row r="8" spans="1:6" x14ac:dyDescent="0.2">
      <c r="A8" t="s">
        <v>3</v>
      </c>
      <c r="C8">
        <f>D4</f>
        <v>3.4546999999999999</v>
      </c>
    </row>
    <row r="9" spans="1:6" x14ac:dyDescent="0.2">
      <c r="A9" s="20" t="s">
        <v>30</v>
      </c>
      <c r="B9" s="20"/>
      <c r="C9" s="21">
        <v>21</v>
      </c>
      <c r="D9" s="21">
        <v>21</v>
      </c>
    </row>
    <row r="10" spans="1:6" ht="13.5" thickBot="1" x14ac:dyDescent="0.25">
      <c r="A10" s="22"/>
      <c r="B10" s="22"/>
      <c r="C10" s="5" t="s">
        <v>19</v>
      </c>
      <c r="D10" s="5" t="s">
        <v>20</v>
      </c>
    </row>
    <row r="11" spans="1:6" x14ac:dyDescent="0.2">
      <c r="A11" s="22" t="s">
        <v>14</v>
      </c>
      <c r="B11" s="22"/>
      <c r="C11" s="23">
        <f ca="1">INTERCEPT(INDIRECT(C14):R$935,INDIRECT(C13):$F$935)</f>
        <v>4.6240915791762038E-4</v>
      </c>
      <c r="D11" s="23">
        <f ca="1">INTERCEPT(INDIRECT(D14):S$935,INDIRECT(D13):$F$935)</f>
        <v>5.2871501374215804</v>
      </c>
      <c r="E11" s="20" t="s">
        <v>36</v>
      </c>
      <c r="F11">
        <v>1</v>
      </c>
    </row>
    <row r="12" spans="1:6" x14ac:dyDescent="0.2">
      <c r="A12" s="22" t="s">
        <v>15</v>
      </c>
      <c r="B12" s="22"/>
      <c r="C12" s="23">
        <f ca="1">SLOPE(INDIRECT(C14):R$935,INDIRECT(C13):$F$935)</f>
        <v>-9.0295458322486776E-5</v>
      </c>
      <c r="D12" s="23">
        <f ca="1">SLOPE(INDIRECT(D14):S$935,INDIRECT(D13):$F$935)</f>
        <v>-4.837493437914885E-4</v>
      </c>
      <c r="E12" s="20" t="s">
        <v>37</v>
      </c>
      <c r="F12" s="30">
        <f ca="1">NOW()+15018.5+$C$5/24</f>
        <v>60357.74058946759</v>
      </c>
    </row>
    <row r="13" spans="1:6" x14ac:dyDescent="0.2">
      <c r="A13" s="20" t="s">
        <v>31</v>
      </c>
      <c r="B13" s="20"/>
      <c r="C13" s="21" t="str">
        <f>"F"&amp;C9</f>
        <v>F21</v>
      </c>
      <c r="D13" s="21" t="str">
        <f>"F"&amp;D9</f>
        <v>F21</v>
      </c>
      <c r="E13" s="20" t="s">
        <v>38</v>
      </c>
      <c r="F13" s="30">
        <f ca="1">ROUND(2*(F12-$C$7)/$C$8,0)/2+F11</f>
        <v>10382.5</v>
      </c>
    </row>
    <row r="14" spans="1:6" x14ac:dyDescent="0.2">
      <c r="A14" s="20" t="s">
        <v>32</v>
      </c>
      <c r="B14" s="20"/>
      <c r="C14" s="21" t="str">
        <f>"R"&amp;C9</f>
        <v>R21</v>
      </c>
      <c r="D14" s="21" t="str">
        <f>"S"&amp;D9</f>
        <v>S21</v>
      </c>
      <c r="E14" s="20" t="s">
        <v>39</v>
      </c>
      <c r="F14" s="31">
        <f ca="1">ROUND(2*(F12-$C$15)/$C$16,0)/2+F11</f>
        <v>874</v>
      </c>
    </row>
    <row r="15" spans="1:6" x14ac:dyDescent="0.2">
      <c r="A15" s="24" t="s">
        <v>16</v>
      </c>
      <c r="B15" s="22"/>
      <c r="C15" s="25">
        <f ca="1">($C7+C11)+($C8+C12)*INT(MAX($F21:$F3533))</f>
        <v>57342.254142895967</v>
      </c>
      <c r="D15" s="25">
        <f ca="1">($C7+D11)+($C8+D12)*INT(MAX($F21:$F3533))</f>
        <v>57343.799477627304</v>
      </c>
      <c r="E15" s="20" t="s">
        <v>40</v>
      </c>
      <c r="F15" s="32">
        <f ca="1">+$C$15+$C$16*F14-15018.5-$C$5/24</f>
        <v>45343.478857998729</v>
      </c>
    </row>
    <row r="16" spans="1:6" x14ac:dyDescent="0.2">
      <c r="A16" s="26" t="s">
        <v>4</v>
      </c>
      <c r="B16" s="22"/>
      <c r="C16" s="27">
        <f ca="1">+$C8+C12</f>
        <v>3.4546097045416775</v>
      </c>
      <c r="D16" s="23">
        <f ca="1">+$C8+D12</f>
        <v>3.4542162506562084</v>
      </c>
      <c r="E16" s="33"/>
      <c r="F16" s="33" t="s">
        <v>35</v>
      </c>
    </row>
    <row r="17" spans="1:20" ht="13.5" thickBot="1" x14ac:dyDescent="0.25">
      <c r="A17" s="19" t="s">
        <v>29</v>
      </c>
      <c r="C17">
        <f>COUNT(C21:C1247)</f>
        <v>9</v>
      </c>
    </row>
    <row r="18" spans="1:20" ht="14.25" thickTop="1" thickBot="1" x14ac:dyDescent="0.25">
      <c r="A18" s="6" t="s">
        <v>22</v>
      </c>
      <c r="C18" s="3">
        <f ca="1">+C15</f>
        <v>57342.254142895967</v>
      </c>
      <c r="D18" s="4">
        <f ca="1">+C16</f>
        <v>3.4546097045416775</v>
      </c>
      <c r="E18" s="34">
        <f>R19</f>
        <v>5</v>
      </c>
    </row>
    <row r="19" spans="1:20" ht="14.25" thickTop="1" thickBot="1" x14ac:dyDescent="0.25">
      <c r="A19" s="6" t="s">
        <v>23</v>
      </c>
      <c r="C19" s="3">
        <f ca="1">+D15</f>
        <v>57343.799477627304</v>
      </c>
      <c r="D19" s="4">
        <f ca="1">+D16</f>
        <v>3.4542162506562084</v>
      </c>
      <c r="E19" s="34">
        <f>S19</f>
        <v>4</v>
      </c>
      <c r="R19">
        <f>COUNT(R21:R322)</f>
        <v>5</v>
      </c>
      <c r="S19">
        <f>COUNT(S21:S322)</f>
        <v>4</v>
      </c>
    </row>
    <row r="20" spans="1:20" ht="14.25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11</v>
      </c>
      <c r="I20" s="8" t="s">
        <v>51</v>
      </c>
      <c r="J20" s="8" t="s">
        <v>54</v>
      </c>
      <c r="K20" s="8" t="s">
        <v>26</v>
      </c>
      <c r="L20" s="8" t="s">
        <v>27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9" t="s">
        <v>19</v>
      </c>
      <c r="S20" s="9" t="s">
        <v>20</v>
      </c>
      <c r="T20" s="44" t="s">
        <v>50</v>
      </c>
    </row>
    <row r="21" spans="1:20" x14ac:dyDescent="0.2">
      <c r="A21" t="s">
        <v>43</v>
      </c>
      <c r="C21" s="15">
        <v>24492.37</v>
      </c>
      <c r="D21" s="15" t="s">
        <v>28</v>
      </c>
      <c r="E21">
        <f t="shared" ref="E21:E26" si="0">+(C21-C$7)/C$8</f>
        <v>0</v>
      </c>
      <c r="F21">
        <f t="shared" ref="F21:F29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P26" ca="1" si="3">+C$11+C$12*$F21</f>
        <v>4.6240915791762038E-4</v>
      </c>
      <c r="P21">
        <f t="shared" ca="1" si="3"/>
        <v>5.2871501374215804</v>
      </c>
      <c r="Q21" s="2">
        <f t="shared" ref="Q21:Q26" si="4">+C21-15018.5</f>
        <v>9473.869999999999</v>
      </c>
      <c r="R21">
        <v>0</v>
      </c>
      <c r="T21">
        <f>G21</f>
        <v>0</v>
      </c>
    </row>
    <row r="22" spans="1:20" x14ac:dyDescent="0.2">
      <c r="A22" s="35" t="s">
        <v>44</v>
      </c>
      <c r="B22" s="35"/>
      <c r="C22" s="36">
        <v>55480.26</v>
      </c>
      <c r="D22" s="36">
        <v>1.2999999999999999E-3</v>
      </c>
      <c r="E22">
        <f t="shared" si="0"/>
        <v>8969.7774046950544</v>
      </c>
      <c r="F22">
        <f t="shared" si="1"/>
        <v>8970</v>
      </c>
      <c r="G22">
        <f t="shared" si="2"/>
        <v>-0.76899999999295687</v>
      </c>
      <c r="I22">
        <f t="shared" ref="I22:I28" si="5">+G22</f>
        <v>-0.76899999999295687</v>
      </c>
      <c r="O22">
        <f t="shared" ca="1" si="3"/>
        <v>-0.80948785199478879</v>
      </c>
      <c r="P22">
        <f t="shared" ca="1" si="3"/>
        <v>0.94791852361192852</v>
      </c>
      <c r="Q22" s="2">
        <f t="shared" si="4"/>
        <v>40461.760000000002</v>
      </c>
      <c r="R22">
        <f>G22</f>
        <v>-0.76899999999295687</v>
      </c>
    </row>
    <row r="23" spans="1:20" x14ac:dyDescent="0.2">
      <c r="A23" s="18" t="s">
        <v>45</v>
      </c>
      <c r="B23" s="37" t="s">
        <v>46</v>
      </c>
      <c r="C23" s="18">
        <v>55863.667099999999</v>
      </c>
      <c r="D23" s="18">
        <v>5.9999999999999995E-4</v>
      </c>
      <c r="E23">
        <f t="shared" si="0"/>
        <v>9080.7587055315944</v>
      </c>
      <c r="F23">
        <f t="shared" si="1"/>
        <v>9081</v>
      </c>
      <c r="G23">
        <f t="shared" si="2"/>
        <v>-0.83359999999811407</v>
      </c>
      <c r="I23">
        <f t="shared" si="5"/>
        <v>-0.83359999999811407</v>
      </c>
      <c r="O23">
        <f t="shared" ca="1" si="3"/>
        <v>-0.81951064786858474</v>
      </c>
      <c r="P23">
        <f t="shared" ca="1" si="3"/>
        <v>0.89422234645107324</v>
      </c>
      <c r="Q23" s="2">
        <f t="shared" si="4"/>
        <v>40845.167099999999</v>
      </c>
      <c r="R23">
        <f>G23</f>
        <v>-0.83359999999811407</v>
      </c>
    </row>
    <row r="24" spans="1:20" x14ac:dyDescent="0.2">
      <c r="A24" s="38" t="s">
        <v>47</v>
      </c>
      <c r="B24" s="39" t="s">
        <v>48</v>
      </c>
      <c r="C24" s="40">
        <v>56188.362500000003</v>
      </c>
      <c r="D24" s="40">
        <v>5.3E-3</v>
      </c>
      <c r="E24">
        <f t="shared" si="0"/>
        <v>9174.7452745535084</v>
      </c>
      <c r="F24">
        <f t="shared" si="1"/>
        <v>9174.5</v>
      </c>
      <c r="G24">
        <f t="shared" si="2"/>
        <v>0.8473500000036438</v>
      </c>
      <c r="I24">
        <f t="shared" si="5"/>
        <v>0.8473500000036438</v>
      </c>
      <c r="O24">
        <f t="shared" ca="1" si="3"/>
        <v>-0.82795327322173728</v>
      </c>
      <c r="P24">
        <f t="shared" ca="1" si="3"/>
        <v>0.84899178280656873</v>
      </c>
      <c r="Q24" s="2">
        <f t="shared" si="4"/>
        <v>41169.862500000003</v>
      </c>
      <c r="S24">
        <f>G24</f>
        <v>0.8473500000036438</v>
      </c>
    </row>
    <row r="25" spans="1:20" x14ac:dyDescent="0.2">
      <c r="A25" s="41" t="s">
        <v>49</v>
      </c>
      <c r="B25" s="42" t="s">
        <v>46</v>
      </c>
      <c r="C25" s="40">
        <v>56568.330900000001</v>
      </c>
      <c r="D25" s="43">
        <v>3.0999999999999999E-3</v>
      </c>
      <c r="E25">
        <f t="shared" si="0"/>
        <v>9284.7312067618041</v>
      </c>
      <c r="F25">
        <f t="shared" si="1"/>
        <v>9284.5</v>
      </c>
      <c r="G25">
        <f t="shared" si="2"/>
        <v>0.79875000000174623</v>
      </c>
      <c r="I25">
        <f t="shared" si="5"/>
        <v>0.79875000000174623</v>
      </c>
      <c r="O25">
        <f t="shared" ca="1" si="3"/>
        <v>-0.83788577363721084</v>
      </c>
      <c r="P25">
        <f t="shared" ca="1" si="3"/>
        <v>0.79577935498950492</v>
      </c>
      <c r="Q25" s="2">
        <f t="shared" si="4"/>
        <v>41549.830900000001</v>
      </c>
      <c r="S25">
        <f>G25</f>
        <v>0.79875000000174623</v>
      </c>
    </row>
    <row r="26" spans="1:20" x14ac:dyDescent="0.2">
      <c r="A26" s="41" t="s">
        <v>49</v>
      </c>
      <c r="B26" s="42" t="s">
        <v>46</v>
      </c>
      <c r="C26" s="40">
        <v>56592.5069</v>
      </c>
      <c r="D26" s="43">
        <v>4.1000000000000003E-3</v>
      </c>
      <c r="E26">
        <f t="shared" si="0"/>
        <v>9291.7292094827335</v>
      </c>
      <c r="F26">
        <f t="shared" si="1"/>
        <v>9291.5</v>
      </c>
      <c r="G26">
        <f t="shared" si="2"/>
        <v>0.79185000000143191</v>
      </c>
      <c r="I26">
        <f t="shared" si="5"/>
        <v>0.79185000000143191</v>
      </c>
      <c r="O26">
        <f t="shared" ca="1" si="3"/>
        <v>-0.83851784184546829</v>
      </c>
      <c r="P26">
        <f t="shared" ca="1" si="3"/>
        <v>0.79239310958296461</v>
      </c>
      <c r="Q26" s="2">
        <f t="shared" si="4"/>
        <v>41574.0069</v>
      </c>
      <c r="S26">
        <f>G26</f>
        <v>0.79185000000143191</v>
      </c>
    </row>
    <row r="27" spans="1:20" x14ac:dyDescent="0.2">
      <c r="A27" s="58" t="s">
        <v>69</v>
      </c>
      <c r="B27" s="60" t="s">
        <v>46</v>
      </c>
      <c r="C27" s="59">
        <v>55839.4833</v>
      </c>
      <c r="D27" s="12"/>
      <c r="E27">
        <f>+(C27-C$7)/C$8</f>
        <v>9073.7584450169343</v>
      </c>
      <c r="F27">
        <f t="shared" si="1"/>
        <v>9074</v>
      </c>
      <c r="G27">
        <f>+C27-(C$7+F27*C$8)</f>
        <v>-0.83449999999720603</v>
      </c>
      <c r="I27">
        <f t="shared" si="5"/>
        <v>-0.83449999999720603</v>
      </c>
      <c r="O27">
        <f t="shared" ref="O27:P29" ca="1" si="6">+C$11+C$12*$F27</f>
        <v>-0.8188785796603274</v>
      </c>
      <c r="P27">
        <f t="shared" ca="1" si="6"/>
        <v>0.89760859185761355</v>
      </c>
      <c r="Q27" s="2">
        <f>+C27-15018.5</f>
        <v>40820.9833</v>
      </c>
      <c r="R27">
        <f>G27</f>
        <v>-0.83449999999720603</v>
      </c>
    </row>
    <row r="28" spans="1:20" x14ac:dyDescent="0.2">
      <c r="A28" s="58" t="s">
        <v>69</v>
      </c>
      <c r="B28" s="60" t="s">
        <v>46</v>
      </c>
      <c r="C28" s="59">
        <v>55801.4879</v>
      </c>
      <c r="D28" s="12"/>
      <c r="E28">
        <f>+(C28-C$7)/C$8</f>
        <v>9062.7602686195623</v>
      </c>
      <c r="F28">
        <f t="shared" si="1"/>
        <v>9063</v>
      </c>
      <c r="G28">
        <f>+C28-(C$7+F28*C$8)</f>
        <v>-0.82819999999628635</v>
      </c>
      <c r="I28">
        <f t="shared" si="5"/>
        <v>-0.82819999999628635</v>
      </c>
      <c r="O28">
        <f t="shared" ca="1" si="6"/>
        <v>-0.81788532961878002</v>
      </c>
      <c r="P28">
        <f t="shared" ca="1" si="6"/>
        <v>0.90292983463931975</v>
      </c>
      <c r="Q28" s="2">
        <f>+C28-15018.5</f>
        <v>40782.9879</v>
      </c>
      <c r="R28">
        <f>G28</f>
        <v>-0.82819999999628635</v>
      </c>
    </row>
    <row r="29" spans="1:20" x14ac:dyDescent="0.2">
      <c r="A29" s="61" t="s">
        <v>94</v>
      </c>
      <c r="B29" s="62" t="s">
        <v>46</v>
      </c>
      <c r="C29" s="63">
        <v>57345.525800000003</v>
      </c>
      <c r="D29" s="64">
        <v>1.4E-3</v>
      </c>
      <c r="E29">
        <f>+(C29-C$7)/C$8</f>
        <v>9509.698613483084</v>
      </c>
      <c r="F29">
        <f t="shared" si="1"/>
        <v>9509.5</v>
      </c>
      <c r="G29">
        <f>+C29-(C$7+F29*C$8)</f>
        <v>0.68615000000863802</v>
      </c>
      <c r="I29">
        <f>+G29</f>
        <v>0.68615000000863802</v>
      </c>
      <c r="O29">
        <f t="shared" ca="1" si="6"/>
        <v>-0.85820225175977038</v>
      </c>
      <c r="P29">
        <f t="shared" ca="1" si="6"/>
        <v>0.68693575263642082</v>
      </c>
      <c r="Q29" s="2">
        <f>+C29-15018.5</f>
        <v>42327.025800000003</v>
      </c>
      <c r="S29">
        <f>G29</f>
        <v>0.68615000000863802</v>
      </c>
    </row>
    <row r="30" spans="1:20" x14ac:dyDescent="0.2">
      <c r="A30" s="13"/>
      <c r="B30" s="14"/>
      <c r="C30" s="12"/>
      <c r="D30" s="15"/>
      <c r="Q30" s="2"/>
    </row>
    <row r="31" spans="1:20" x14ac:dyDescent="0.2">
      <c r="A31" s="16"/>
      <c r="B31" s="17"/>
      <c r="C31" s="12"/>
      <c r="D31" s="12"/>
      <c r="Q31" s="2"/>
    </row>
    <row r="32" spans="1:20" x14ac:dyDescent="0.2">
      <c r="A32" s="16"/>
      <c r="B32" s="17"/>
      <c r="C32" s="12"/>
      <c r="D32" s="12"/>
      <c r="Q32" s="2"/>
    </row>
    <row r="33" spans="1:17" x14ac:dyDescent="0.2">
      <c r="A33" s="18"/>
      <c r="B33" s="14"/>
      <c r="C33" s="12"/>
      <c r="D33" s="15"/>
      <c r="Q33" s="2"/>
    </row>
    <row r="34" spans="1:17" x14ac:dyDescent="0.2">
      <c r="A34" s="18"/>
      <c r="B34" s="14"/>
      <c r="C34" s="12"/>
      <c r="D34" s="15"/>
      <c r="Q34" s="2"/>
    </row>
    <row r="35" spans="1:17" x14ac:dyDescent="0.2">
      <c r="A35" s="18"/>
      <c r="B35" s="14"/>
      <c r="C35" s="12"/>
      <c r="D35" s="15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workbookViewId="0">
      <selection activeCell="A16" sqref="A16:C17"/>
    </sheetView>
  </sheetViews>
  <sheetFormatPr defaultRowHeight="12.75" x14ac:dyDescent="0.2"/>
  <cols>
    <col min="1" max="1" width="19.7109375" style="15" customWidth="1"/>
    <col min="2" max="2" width="4.42578125" style="22" customWidth="1"/>
    <col min="3" max="3" width="12.7109375" style="15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5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5" t="s">
        <v>52</v>
      </c>
      <c r="I1" s="46" t="s">
        <v>53</v>
      </c>
      <c r="J1" s="47" t="s">
        <v>54</v>
      </c>
    </row>
    <row r="2" spans="1:16" x14ac:dyDescent="0.2">
      <c r="I2" s="48" t="s">
        <v>55</v>
      </c>
      <c r="J2" s="49" t="s">
        <v>56</v>
      </c>
    </row>
    <row r="3" spans="1:16" x14ac:dyDescent="0.2">
      <c r="A3" s="50" t="s">
        <v>57</v>
      </c>
      <c r="I3" s="48" t="s">
        <v>58</v>
      </c>
      <c r="J3" s="49" t="s">
        <v>59</v>
      </c>
    </row>
    <row r="4" spans="1:16" x14ac:dyDescent="0.2">
      <c r="I4" s="48" t="s">
        <v>60</v>
      </c>
      <c r="J4" s="49" t="s">
        <v>59</v>
      </c>
    </row>
    <row r="5" spans="1:16" ht="13.5" thickBot="1" x14ac:dyDescent="0.25">
      <c r="I5" s="51" t="s">
        <v>61</v>
      </c>
      <c r="J5" s="52" t="s">
        <v>62</v>
      </c>
    </row>
    <row r="11" spans="1:16" ht="13.5" thickBot="1" x14ac:dyDescent="0.25"/>
    <row r="12" spans="1:16" ht="12.75" customHeight="1" thickBot="1" x14ac:dyDescent="0.25">
      <c r="A12" s="15" t="str">
        <f t="shared" ref="A12:A17" si="0">P12</f>
        <v>IBVS 6011 </v>
      </c>
      <c r="B12" s="14" t="str">
        <f t="shared" ref="B12:B17" si="1">IF(H12=INT(H12),"I","II")</f>
        <v>I</v>
      </c>
      <c r="C12" s="15">
        <f t="shared" ref="C12:C17" si="2">1*G12</f>
        <v>55863.667099999999</v>
      </c>
      <c r="D12" s="22" t="str">
        <f t="shared" ref="D12:D17" si="3">VLOOKUP(F12,I$1:J$5,2,FALSE)</f>
        <v>vis</v>
      </c>
      <c r="E12" s="53">
        <f>VLOOKUP(C12,'Active 1'!C$21:E$973,3,FALSE)</f>
        <v>9080.7587055315944</v>
      </c>
      <c r="F12" s="14" t="s">
        <v>61</v>
      </c>
      <c r="G12" s="22" t="str">
        <f t="shared" ref="G12:G17" si="4">MID(I12,3,LEN(I12)-3)</f>
        <v>55863.6671</v>
      </c>
      <c r="H12" s="15">
        <f t="shared" ref="H12:H17" si="5">1*K12</f>
        <v>9081</v>
      </c>
      <c r="I12" s="54" t="s">
        <v>74</v>
      </c>
      <c r="J12" s="55" t="s">
        <v>75</v>
      </c>
      <c r="K12" s="54" t="s">
        <v>76</v>
      </c>
      <c r="L12" s="54" t="s">
        <v>77</v>
      </c>
      <c r="M12" s="55" t="s">
        <v>66</v>
      </c>
      <c r="N12" s="55" t="s">
        <v>61</v>
      </c>
      <c r="O12" s="56" t="s">
        <v>78</v>
      </c>
      <c r="P12" s="57" t="s">
        <v>79</v>
      </c>
    </row>
    <row r="13" spans="1:16" ht="12.75" customHeight="1" thickBot="1" x14ac:dyDescent="0.25">
      <c r="A13" s="15" t="str">
        <f t="shared" si="0"/>
        <v>BAVM 231 </v>
      </c>
      <c r="B13" s="14" t="str">
        <f t="shared" si="1"/>
        <v>I</v>
      </c>
      <c r="C13" s="15">
        <f t="shared" si="2"/>
        <v>56188.362500000003</v>
      </c>
      <c r="D13" s="22" t="str">
        <f t="shared" si="3"/>
        <v>vis</v>
      </c>
      <c r="E13" s="53">
        <f>VLOOKUP(C13,'Active 1'!C$21:E$973,3,FALSE)</f>
        <v>9174.7452745535084</v>
      </c>
      <c r="F13" s="14" t="s">
        <v>61</v>
      </c>
      <c r="G13" s="22" t="str">
        <f t="shared" si="4"/>
        <v>56188.3625</v>
      </c>
      <c r="H13" s="15">
        <f t="shared" si="5"/>
        <v>9175</v>
      </c>
      <c r="I13" s="54" t="s">
        <v>80</v>
      </c>
      <c r="J13" s="55" t="s">
        <v>81</v>
      </c>
      <c r="K13" s="54" t="s">
        <v>82</v>
      </c>
      <c r="L13" s="54" t="s">
        <v>83</v>
      </c>
      <c r="M13" s="55" t="s">
        <v>66</v>
      </c>
      <c r="N13" s="55" t="s">
        <v>67</v>
      </c>
      <c r="O13" s="56" t="s">
        <v>68</v>
      </c>
      <c r="P13" s="57" t="s">
        <v>84</v>
      </c>
    </row>
    <row r="14" spans="1:16" ht="12.75" customHeight="1" thickBot="1" x14ac:dyDescent="0.25">
      <c r="A14" s="15" t="str">
        <f t="shared" si="0"/>
        <v>BAVM 234 </v>
      </c>
      <c r="B14" s="14" t="str">
        <f t="shared" si="1"/>
        <v>I</v>
      </c>
      <c r="C14" s="15">
        <f t="shared" si="2"/>
        <v>56568.330900000001</v>
      </c>
      <c r="D14" s="22" t="str">
        <f t="shared" si="3"/>
        <v>vis</v>
      </c>
      <c r="E14" s="53">
        <f>VLOOKUP(C14,'Active 1'!C$21:E$973,3,FALSE)</f>
        <v>9284.7312067618041</v>
      </c>
      <c r="F14" s="14" t="s">
        <v>61</v>
      </c>
      <c r="G14" s="22" t="str">
        <f t="shared" si="4"/>
        <v>56568.3309</v>
      </c>
      <c r="H14" s="15">
        <f t="shared" si="5"/>
        <v>9285</v>
      </c>
      <c r="I14" s="54" t="s">
        <v>85</v>
      </c>
      <c r="J14" s="55" t="s">
        <v>86</v>
      </c>
      <c r="K14" s="54" t="s">
        <v>87</v>
      </c>
      <c r="L14" s="54" t="s">
        <v>88</v>
      </c>
      <c r="M14" s="55" t="s">
        <v>66</v>
      </c>
      <c r="N14" s="55" t="s">
        <v>67</v>
      </c>
      <c r="O14" s="56" t="s">
        <v>68</v>
      </c>
      <c r="P14" s="57" t="s">
        <v>89</v>
      </c>
    </row>
    <row r="15" spans="1:16" ht="12.75" customHeight="1" thickBot="1" x14ac:dyDescent="0.25">
      <c r="A15" s="15" t="str">
        <f t="shared" si="0"/>
        <v>BAVM 234 </v>
      </c>
      <c r="B15" s="14" t="str">
        <f t="shared" si="1"/>
        <v>I</v>
      </c>
      <c r="C15" s="15">
        <f t="shared" si="2"/>
        <v>56592.5069</v>
      </c>
      <c r="D15" s="22" t="str">
        <f t="shared" si="3"/>
        <v>vis</v>
      </c>
      <c r="E15" s="53">
        <f>VLOOKUP(C15,'Active 1'!C$21:E$973,3,FALSE)</f>
        <v>9291.7292094827335</v>
      </c>
      <c r="F15" s="14" t="s">
        <v>61</v>
      </c>
      <c r="G15" s="22" t="str">
        <f t="shared" si="4"/>
        <v>56592.5069</v>
      </c>
      <c r="H15" s="15">
        <f t="shared" si="5"/>
        <v>9292</v>
      </c>
      <c r="I15" s="54" t="s">
        <v>90</v>
      </c>
      <c r="J15" s="55" t="s">
        <v>91</v>
      </c>
      <c r="K15" s="54" t="s">
        <v>92</v>
      </c>
      <c r="L15" s="54" t="s">
        <v>93</v>
      </c>
      <c r="M15" s="55" t="s">
        <v>66</v>
      </c>
      <c r="N15" s="55" t="s">
        <v>67</v>
      </c>
      <c r="O15" s="56" t="s">
        <v>68</v>
      </c>
      <c r="P15" s="57" t="s">
        <v>89</v>
      </c>
    </row>
    <row r="16" spans="1:16" ht="12.75" customHeight="1" thickBot="1" x14ac:dyDescent="0.25">
      <c r="A16" s="15" t="str">
        <f t="shared" si="0"/>
        <v>BAVM 225 </v>
      </c>
      <c r="B16" s="14" t="str">
        <f t="shared" si="1"/>
        <v>I</v>
      </c>
      <c r="C16" s="15">
        <f t="shared" si="2"/>
        <v>55839.4833</v>
      </c>
      <c r="D16" s="22" t="str">
        <f t="shared" si="3"/>
        <v>vis</v>
      </c>
      <c r="E16" s="53">
        <f>VLOOKUP(C16,'Active 1'!C$21:E$973,3,FALSE)</f>
        <v>9073.7584450169343</v>
      </c>
      <c r="F16" s="14" t="s">
        <v>61</v>
      </c>
      <c r="G16" s="22" t="str">
        <f t="shared" si="4"/>
        <v>55839.4833</v>
      </c>
      <c r="H16" s="15">
        <f t="shared" si="5"/>
        <v>9074</v>
      </c>
      <c r="I16" s="54" t="s">
        <v>70</v>
      </c>
      <c r="J16" s="55" t="s">
        <v>71</v>
      </c>
      <c r="K16" s="54" t="s">
        <v>72</v>
      </c>
      <c r="L16" s="54" t="s">
        <v>73</v>
      </c>
      <c r="M16" s="55" t="s">
        <v>66</v>
      </c>
      <c r="N16" s="55" t="s">
        <v>67</v>
      </c>
      <c r="O16" s="56" t="s">
        <v>68</v>
      </c>
      <c r="P16" s="57" t="s">
        <v>69</v>
      </c>
    </row>
    <row r="17" spans="1:16" ht="12.75" customHeight="1" thickBot="1" x14ac:dyDescent="0.25">
      <c r="A17" s="15" t="str">
        <f t="shared" si="0"/>
        <v>BAVM 225 </v>
      </c>
      <c r="B17" s="14" t="str">
        <f t="shared" si="1"/>
        <v>I</v>
      </c>
      <c r="C17" s="15">
        <f t="shared" si="2"/>
        <v>55801.4879</v>
      </c>
      <c r="D17" s="22" t="str">
        <f t="shared" si="3"/>
        <v>vis</v>
      </c>
      <c r="E17" s="53">
        <f>VLOOKUP(C17,'Active 1'!C$21:E$973,3,FALSE)</f>
        <v>9062.7602686195623</v>
      </c>
      <c r="F17" s="14" t="s">
        <v>61</v>
      </c>
      <c r="G17" s="22" t="str">
        <f t="shared" si="4"/>
        <v>55801.4879</v>
      </c>
      <c r="H17" s="15">
        <f t="shared" si="5"/>
        <v>9063</v>
      </c>
      <c r="I17" s="54" t="s">
        <v>63</v>
      </c>
      <c r="J17" s="55" t="s">
        <v>64</v>
      </c>
      <c r="K17" s="54">
        <v>9063</v>
      </c>
      <c r="L17" s="54" t="s">
        <v>65</v>
      </c>
      <c r="M17" s="55" t="s">
        <v>66</v>
      </c>
      <c r="N17" s="55" t="s">
        <v>67</v>
      </c>
      <c r="O17" s="56" t="s">
        <v>68</v>
      </c>
      <c r="P17" s="57" t="s">
        <v>69</v>
      </c>
    </row>
    <row r="18" spans="1:16" x14ac:dyDescent="0.2">
      <c r="B18" s="14"/>
      <c r="E18" s="53"/>
      <c r="F18" s="14"/>
    </row>
    <row r="19" spans="1:16" x14ac:dyDescent="0.2">
      <c r="B19" s="14"/>
      <c r="E19" s="53"/>
      <c r="F19" s="14"/>
    </row>
    <row r="20" spans="1:16" x14ac:dyDescent="0.2">
      <c r="B20" s="14"/>
      <c r="E20" s="53"/>
      <c r="F20" s="14"/>
    </row>
    <row r="21" spans="1:16" x14ac:dyDescent="0.2">
      <c r="B21" s="14"/>
      <c r="E21" s="53"/>
      <c r="F21" s="14"/>
    </row>
    <row r="22" spans="1:16" x14ac:dyDescent="0.2">
      <c r="B22" s="14"/>
      <c r="E22" s="53"/>
      <c r="F22" s="14"/>
    </row>
    <row r="23" spans="1:16" x14ac:dyDescent="0.2">
      <c r="B23" s="14"/>
      <c r="E23" s="53"/>
      <c r="F23" s="14"/>
    </row>
    <row r="24" spans="1:16" x14ac:dyDescent="0.2">
      <c r="B24" s="14"/>
      <c r="E24" s="53"/>
      <c r="F24" s="14"/>
    </row>
    <row r="25" spans="1:16" x14ac:dyDescent="0.2">
      <c r="B25" s="14"/>
      <c r="E25" s="53"/>
      <c r="F25" s="14"/>
    </row>
    <row r="26" spans="1:16" x14ac:dyDescent="0.2">
      <c r="B26" s="14"/>
      <c r="E26" s="53"/>
      <c r="F26" s="14"/>
    </row>
    <row r="27" spans="1:16" x14ac:dyDescent="0.2">
      <c r="B27" s="14"/>
      <c r="E27" s="53"/>
      <c r="F27" s="14"/>
    </row>
    <row r="28" spans="1:16" x14ac:dyDescent="0.2">
      <c r="B28" s="14"/>
      <c r="E28" s="53"/>
      <c r="F28" s="14"/>
    </row>
    <row r="29" spans="1:16" x14ac:dyDescent="0.2">
      <c r="B29" s="14"/>
      <c r="E29" s="53"/>
      <c r="F29" s="14"/>
    </row>
    <row r="30" spans="1:16" x14ac:dyDescent="0.2">
      <c r="B30" s="14"/>
      <c r="E30" s="53"/>
      <c r="F30" s="14"/>
    </row>
    <row r="31" spans="1:16" x14ac:dyDescent="0.2">
      <c r="B31" s="14"/>
      <c r="E31" s="53"/>
      <c r="F31" s="14"/>
    </row>
    <row r="32" spans="1:16" x14ac:dyDescent="0.2">
      <c r="B32" s="14"/>
      <c r="E32" s="53"/>
      <c r="F32" s="14"/>
    </row>
    <row r="33" spans="2:6" x14ac:dyDescent="0.2">
      <c r="B33" s="14"/>
      <c r="E33" s="53"/>
      <c r="F33" s="14"/>
    </row>
    <row r="34" spans="2:6" x14ac:dyDescent="0.2">
      <c r="B34" s="14"/>
      <c r="E34" s="53"/>
      <c r="F34" s="14"/>
    </row>
    <row r="35" spans="2:6" x14ac:dyDescent="0.2">
      <c r="B35" s="14"/>
      <c r="E35" s="53"/>
      <c r="F35" s="14"/>
    </row>
    <row r="36" spans="2:6" x14ac:dyDescent="0.2">
      <c r="B36" s="14"/>
      <c r="E36" s="53"/>
      <c r="F36" s="14"/>
    </row>
    <row r="37" spans="2:6" x14ac:dyDescent="0.2">
      <c r="B37" s="14"/>
      <c r="E37" s="53"/>
      <c r="F37" s="14"/>
    </row>
    <row r="38" spans="2:6" x14ac:dyDescent="0.2">
      <c r="B38" s="14"/>
      <c r="E38" s="53"/>
      <c r="F38" s="14"/>
    </row>
    <row r="39" spans="2:6" x14ac:dyDescent="0.2">
      <c r="B39" s="14"/>
      <c r="E39" s="53"/>
      <c r="F39" s="14"/>
    </row>
    <row r="40" spans="2:6" x14ac:dyDescent="0.2">
      <c r="B40" s="14"/>
      <c r="E40" s="53"/>
      <c r="F40" s="14"/>
    </row>
    <row r="41" spans="2:6" x14ac:dyDescent="0.2">
      <c r="B41" s="14"/>
      <c r="E41" s="53"/>
      <c r="F41" s="14"/>
    </row>
    <row r="42" spans="2:6" x14ac:dyDescent="0.2">
      <c r="B42" s="14"/>
      <c r="E42" s="53"/>
      <c r="F42" s="14"/>
    </row>
    <row r="43" spans="2:6" x14ac:dyDescent="0.2">
      <c r="B43" s="14"/>
      <c r="E43" s="53"/>
      <c r="F43" s="14"/>
    </row>
    <row r="44" spans="2:6" x14ac:dyDescent="0.2">
      <c r="B44" s="14"/>
      <c r="E44" s="53"/>
      <c r="F44" s="14"/>
    </row>
    <row r="45" spans="2:6" x14ac:dyDescent="0.2">
      <c r="B45" s="14"/>
      <c r="E45" s="53"/>
      <c r="F45" s="14"/>
    </row>
    <row r="46" spans="2:6" x14ac:dyDescent="0.2">
      <c r="B46" s="14"/>
      <c r="E46" s="53"/>
      <c r="F46" s="14"/>
    </row>
    <row r="47" spans="2:6" x14ac:dyDescent="0.2">
      <c r="B47" s="14"/>
      <c r="E47" s="53"/>
      <c r="F47" s="14"/>
    </row>
    <row r="48" spans="2:6" x14ac:dyDescent="0.2">
      <c r="B48" s="14"/>
      <c r="E48" s="53"/>
      <c r="F48" s="14"/>
    </row>
    <row r="49" spans="2:6" x14ac:dyDescent="0.2">
      <c r="B49" s="14"/>
      <c r="E49" s="53"/>
      <c r="F49" s="14"/>
    </row>
    <row r="50" spans="2:6" x14ac:dyDescent="0.2">
      <c r="B50" s="14"/>
      <c r="E50" s="53"/>
      <c r="F50" s="14"/>
    </row>
    <row r="51" spans="2:6" x14ac:dyDescent="0.2">
      <c r="B51" s="14"/>
      <c r="E51" s="53"/>
      <c r="F51" s="14"/>
    </row>
    <row r="52" spans="2:6" x14ac:dyDescent="0.2">
      <c r="B52" s="14"/>
      <c r="E52" s="53"/>
      <c r="F52" s="14"/>
    </row>
    <row r="53" spans="2:6" x14ac:dyDescent="0.2">
      <c r="B53" s="14"/>
      <c r="E53" s="53"/>
      <c r="F53" s="14"/>
    </row>
    <row r="54" spans="2:6" x14ac:dyDescent="0.2">
      <c r="B54" s="14"/>
      <c r="E54" s="53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</sheetData>
  <phoneticPr fontId="7" type="noConversion"/>
  <hyperlinks>
    <hyperlink ref="P17" r:id="rId1" display="http://www.bav-astro.de/sfs/BAVM_link.php?BAVMnr=225"/>
    <hyperlink ref="P16" r:id="rId2" display="http://www.bav-astro.de/sfs/BAVM_link.php?BAVMnr=225"/>
    <hyperlink ref="P12" r:id="rId3" display="http://www.konkoly.hu/cgi-bin/IBVS?6011"/>
    <hyperlink ref="P13" r:id="rId4" display="http://www.bav-astro.de/sfs/BAVM_link.php?BAVMnr=231"/>
    <hyperlink ref="P14" r:id="rId5" display="http://www.bav-astro.de/sfs/BAVM_link.php?BAVMnr=234"/>
    <hyperlink ref="P15" r:id="rId6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2024-02-17T04:46:26Z</dcterms:modified>
</cp:coreProperties>
</file>