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8CAA2BF-A988-4CA4-AB22-0A02EFF56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F14" i="1"/>
  <c r="F15" i="1" s="1"/>
  <c r="E22" i="1"/>
  <c r="F22" i="1" s="1"/>
  <c r="G22" i="1" s="1"/>
  <c r="K22" i="1" s="1"/>
  <c r="Q22" i="1"/>
  <c r="G11" i="1"/>
  <c r="F11" i="1"/>
  <c r="C21" i="1"/>
  <c r="A21" i="1"/>
  <c r="E21" i="1" l="1"/>
  <c r="F21" i="1" s="1"/>
  <c r="G21" i="1" s="1"/>
  <c r="C17" i="1"/>
  <c r="Q21" i="1"/>
  <c r="C12" i="1"/>
  <c r="C11" i="1"/>
  <c r="O25" i="1" l="1"/>
  <c r="O29" i="1"/>
  <c r="O24" i="1"/>
  <c r="O28" i="1"/>
  <c r="O27" i="1"/>
  <c r="O23" i="1"/>
  <c r="O26" i="1"/>
  <c r="O30" i="1"/>
  <c r="O22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<sst xmlns="http://schemas.openxmlformats.org/spreadsheetml/2006/main" count="72" uniqueCount="54">
  <si>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</si>
  <si>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</si>
  <si>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</si>
  <si>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</si>
  <si>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</si>
  <si>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</si>
  <si>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</si>
  <si>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</si>
  <si>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</si>
  <si>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</si>
  <si>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</si>
  <si>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</si>
  <si>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</si>
  <si>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</si>
  <si>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</si>
  <si>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</si>
  <si>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</si>
  <si>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</si>
  <si>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</si>
  <si>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</si>
  <si>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</si>
  <si>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</si>
  <si>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</si>
  <si>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</si>
  <si>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</si>
  <si>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</si>
  <si>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</si>
  <si>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</si>
  <si>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</si>
  <si>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</si>
  <si>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</si>
  <si>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</si>
  <si>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</si>
  <si>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</si>
  <si>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</si>
  <si>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</si>
  <si>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</si>
  <si>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</si>
  <si>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</si>
  <si>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</si>
  <si>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</si>
  <si>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</si>
  <si>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</si>
  <si>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</si>
  <si>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</si>
  <si>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</si>
  <si>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NSVS 13056044 Leo</t>
  </si>
  <si>
    <t>JBAV, 76</t>
  </si>
  <si>
    <t>I</t>
  </si>
  <si>
    <t>BAV 91 Feb 2024</t>
  </si>
  <si>
    <t xml:space="preserve">Mag </t>
  </si>
  <si>
    <t>Next ToM-P</t>
  </si>
  <si>
    <t>Next ToM-S</t>
  </si>
  <si>
    <t>14.10-14.90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</si>
</sst>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43" fontId="19" fillId="0" borderId="0" xfId="8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3" fontId="20" fillId="0" borderId="0" xfId="8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22" fontId="23" fillId="0" borderId="9" xfId="0" applyNumberFormat="1" applyFont="1" applyBorder="1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166" fontId="18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13056044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1.4903999996022321E-2</c:v>
                </c:pt>
                <c:pt idx="2">
                  <c:v>1.574800000526011E-2</c:v>
                </c:pt>
                <c:pt idx="3">
                  <c:v>1.7007999995257705E-2</c:v>
                </c:pt>
                <c:pt idx="4">
                  <c:v>1.634399999602465E-2</c:v>
                </c:pt>
                <c:pt idx="5">
                  <c:v>1.6179999998712447E-2</c:v>
                </c:pt>
                <c:pt idx="6">
                  <c:v>1.7260000000533182E-2</c:v>
                </c:pt>
                <c:pt idx="7">
                  <c:v>1.8079999994370155E-2</c:v>
                </c:pt>
                <c:pt idx="8">
                  <c:v>1.721999999426771E-2</c:v>
                </c:pt>
                <c:pt idx="9">
                  <c:v>1.6655999999784399E-2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-6.4266627516006494E-5</c:v>
                </c:pt>
                <c:pt idx="1">
                  <c:v>1.5732198324600995E-2</c:v>
                </c:pt>
                <c:pt idx="2">
                  <c:v>1.6575772472910859E-2</c:v>
                </c:pt>
                <c:pt idx="3">
                  <c:v>1.6621252708542575E-2</c:v>
                </c:pt>
                <c:pt idx="4">
                  <c:v>1.6621589599176888E-2</c:v>
                </c:pt>
                <c:pt idx="5">
                  <c:v>1.6722993680103909E-2</c:v>
                </c:pt>
                <c:pt idx="6">
                  <c:v>1.678363399427954E-2</c:v>
                </c:pt>
                <c:pt idx="7">
                  <c:v>1.6798794072823447E-2</c:v>
                </c:pt>
                <c:pt idx="8">
                  <c:v>1.6803847432338079E-2</c:v>
                </c:pt>
                <c:pt idx="9">
                  <c:v>1.6804184322972392E-2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23444.5</c:v>
                </c:pt>
                <c:pt idx="2">
                  <c:v>24696.5</c:v>
                </c:pt>
                <c:pt idx="3">
                  <c:v>24764</c:v>
                </c:pt>
                <c:pt idx="4">
                  <c:v>24764.5</c:v>
                </c:pt>
                <c:pt idx="5">
                  <c:v>24915</c:v>
                </c:pt>
                <c:pt idx="6">
                  <c:v>25005</c:v>
                </c:pt>
                <c:pt idx="7">
                  <c:v>25027.5</c:v>
                </c:pt>
                <c:pt idx="8">
                  <c:v>25035</c:v>
                </c:pt>
                <c:pt idx="9">
                  <c:v>25035.5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85546875" customWidth="1"/>
    <col min="2" max="2" width="4.85546875" customWidth="1"/>
    <col min="3" max="3" width="14.14062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4.75" customHeight="1" x14ac:dyDescent="0.2">
      <c r="A1" s="41" t="s">
        <v>46</v>
      </c>
      <c r="B1" s="38"/>
      <c r="C1" s="38"/>
      <c r="D1" s="38"/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ht="12.95" customHeight="1" x14ac:dyDescent="0.2">
      <c r="A2" t="s">
        <v>23</v>
      </c>
      <c r="B2" s="35" t="s">
        <v>44</v>
      </c>
      <c r="C2" s="30"/>
      <c r="D2" s="2"/>
    </row>
    <row r="3" spans="1:15" ht="12.95" customHeight="1" x14ac:dyDescent="0.2"/>
    <row r="4" spans="1:15" ht="12.95" customHeight="1" x14ac:dyDescent="0.2">
      <c r="A4" s="32" t="s">
        <v>0</v>
      </c>
      <c r="C4" s="2" t="s">
        <v>36</v>
      </c>
      <c r="D4" s="2" t="s">
        <v>36</v>
      </c>
    </row>
    <row r="5" spans="1:15" ht="12.95" customHeight="1" x14ac:dyDescent="0.2">
      <c r="A5" s="33" t="s">
        <v>28</v>
      </c>
      <c r="B5" s="7"/>
      <c r="C5" s="31">
        <v>-9.5</v>
      </c>
      <c r="D5" s="7" t="s">
        <v>29</v>
      </c>
      <c r="E5" s="7"/>
    </row>
    <row r="6" spans="1:15" ht="12.95" customHeight="1" x14ac:dyDescent="0.2">
      <c r="A6" s="32" t="s">
        <v>1</v>
      </c>
    </row>
    <row r="7" spans="1:15" ht="12.95" customHeight="1" x14ac:dyDescent="0.2">
      <c r="A7" t="s">
        <v>2</v>
      </c>
      <c r="C7" s="42">
        <v>53393.887000000002</v>
      </c>
      <c r="D7" s="34" t="s">
        <v>45</v>
      </c>
    </row>
    <row r="8" spans="1:15" ht="12.95" customHeight="1" x14ac:dyDescent="0.2">
      <c r="A8" t="s">
        <v>3</v>
      </c>
      <c r="C8" s="42">
        <v>0.26512799999999997</v>
      </c>
      <c r="D8" s="34" t="s">
        <v>45</v>
      </c>
    </row>
    <row r="9" spans="1:15" ht="12.95" customHeight="1" x14ac:dyDescent="0.2">
      <c r="A9" s="18" t="s">
        <v>31</v>
      </c>
      <c r="B9" s="19">
        <v>21</v>
      </c>
      <c r="C9" s="16"/>
      <c r="D9" s="17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5">
        <f ca="1">INTERCEPT(INDIRECT($G$11):G992,INDIRECT($F$11):F992)</f>
        <v>-6.4266627516006494E-5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5">
        <f ca="1">SLOPE(INDIRECT($G$11):G992,INDIRECT($F$11):F992)</f>
        <v>6.7378126861809819E-7</v>
      </c>
      <c r="D12" s="2"/>
      <c r="E12" s="45" t="s">
        <v>50</v>
      </c>
      <c r="F12" s="46" t="s">
        <v>53</v>
      </c>
    </row>
    <row r="13" spans="1:15" ht="12.95" customHeight="1" x14ac:dyDescent="0.2">
      <c r="A13" s="7" t="s">
        <v>18</v>
      </c>
      <c r="B13" s="7"/>
      <c r="C13" s="2" t="s">
        <v>13</v>
      </c>
      <c r="E13" s="43" t="s">
        <v>33</v>
      </c>
      <c r="F13" s="47">
        <v>1</v>
      </c>
    </row>
    <row r="14" spans="1:15" ht="12.95" customHeight="1" x14ac:dyDescent="0.2">
      <c r="A14" s="7"/>
      <c r="B14" s="7"/>
      <c r="C14" s="7"/>
      <c r="E14" s="43" t="s">
        <v>30</v>
      </c>
      <c r="F14" s="48">
        <f ca="1">NOW()+15018.5+$C$5/24</f>
        <v>60547.701170601853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60031.383283847434</v>
      </c>
      <c r="E15" s="43" t="s">
        <v>34</v>
      </c>
      <c r="F15" s="48">
        <f ca="1">ROUND(2*($F$14-$C$7)/$C$8,0)/2+$F$13</f>
        <v>26983.5</v>
      </c>
    </row>
    <row r="16" spans="1:15" ht="12.95" customHeight="1" x14ac:dyDescent="0.2">
      <c r="A16" s="11" t="s">
        <v>4</v>
      </c>
      <c r="B16" s="7"/>
      <c r="C16" s="12">
        <f ca="1">+C8+C12</f>
        <v>0.26512867378126859</v>
      </c>
      <c r="E16" s="43" t="s">
        <v>35</v>
      </c>
      <c r="F16" s="48">
        <f ca="1">ROUND(2*($F$14-$C$15)/$C$16,0)/2+$F$13</f>
        <v>1948.5</v>
      </c>
    </row>
    <row r="17" spans="1:21" ht="12.95" customHeight="1" thickBot="1" x14ac:dyDescent="0.25">
      <c r="A17" s="10" t="s">
        <v>27</v>
      </c>
      <c r="B17" s="7"/>
      <c r="C17" s="7">
        <f>COUNT(C21:C2191)</f>
        <v>10</v>
      </c>
      <c r="E17" s="43" t="s">
        <v>51</v>
      </c>
      <c r="F17" s="50">
        <f ca="1">+$C$15+$C$16*$F$16-15018.5-$C$5/24</f>
        <v>45529.882338043572</v>
      </c>
    </row>
    <row r="18" spans="1:21" ht="12.95" customHeight="1" thickTop="1" thickBot="1" x14ac:dyDescent="0.25">
      <c r="A18" s="11" t="s">
        <v>5</v>
      </c>
      <c r="B18" s="7"/>
      <c r="C18" s="13">
        <f ca="1">+C15</f>
        <v>60031.383283847434</v>
      </c>
      <c r="D18" s="14">
        <f ca="1">+C16</f>
        <v>0.26512867378126859</v>
      </c>
      <c r="E18" s="44" t="s">
        <v>52</v>
      </c>
      <c r="F18" s="49">
        <f ca="1">+($C$15+$C$16*$F$16)-($C$16/2)-15018.5-$C$5/24</f>
        <v>45529.749773706681</v>
      </c>
    </row>
    <row r="19" spans="1:21" ht="12.95" customHeight="1" thickTop="1" x14ac:dyDescent="0.2">
      <c r="F19" t="s">
        <v>42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6">
        <f>C$7</f>
        <v>53393.887000000002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-6.4266627516006494E-5</v>
      </c>
      <c r="Q21" s="1">
        <f>+C21-15018.5</f>
        <v>38375.387000000002</v>
      </c>
    </row>
    <row r="22" spans="1:21" ht="12.95" customHeight="1" x14ac:dyDescent="0.2">
      <c r="A22" s="36" t="s">
        <v>47</v>
      </c>
      <c r="B22" s="37" t="s">
        <v>48</v>
      </c>
      <c r="C22" s="51">
        <v>59609.695299999999</v>
      </c>
      <c r="D22" s="52">
        <v>3.5000000000000001E-3</v>
      </c>
      <c r="E22">
        <f>+(C22-C$7)/C$8</f>
        <v>23444.556214356831</v>
      </c>
      <c r="F22">
        <f>ROUND(2*E22,0)/2</f>
        <v>23444.5</v>
      </c>
      <c r="G22">
        <f>+C22-(C$7+F22*C$8)</f>
        <v>1.4903999996022321E-2</v>
      </c>
      <c r="K22">
        <f>+G22</f>
        <v>1.4903999996022321E-2</v>
      </c>
      <c r="O22">
        <f ca="1">+C$11+C$12*$F22</f>
        <v>1.5732198324600995E-2</v>
      </c>
      <c r="Q22" s="1">
        <f>+C22-15018.5</f>
        <v>44591.195299999999</v>
      </c>
    </row>
    <row r="23" spans="1:21" ht="12.95" customHeight="1" x14ac:dyDescent="0.2">
      <c r="A23" s="39" t="s">
        <v>49</v>
      </c>
      <c r="B23" s="40" t="s">
        <v>48</v>
      </c>
      <c r="C23" s="39">
        <v>59941.636400000003</v>
      </c>
      <c r="D23" s="39">
        <v>3.5000000000000001E-3</v>
      </c>
      <c r="E23">
        <f t="shared" ref="E23:E30" si="0">+(C23-C$7)/C$8</f>
        <v>24696.559397724875</v>
      </c>
      <c r="F23">
        <f t="shared" ref="F23:F30" si="1">ROUND(2*E23,0)/2</f>
        <v>24696.5</v>
      </c>
      <c r="G23">
        <f t="shared" ref="G23:G30" si="2">+C23-(C$7+F23*C$8)</f>
        <v>1.574800000526011E-2</v>
      </c>
      <c r="K23">
        <f t="shared" ref="K23:K30" si="3">+G23</f>
        <v>1.574800000526011E-2</v>
      </c>
      <c r="O23">
        <f t="shared" ref="O23:O30" ca="1" si="4">+C$11+C$12*$F23</f>
        <v>1.6575772472910859E-2</v>
      </c>
      <c r="Q23" s="1">
        <f t="shared" ref="Q23:Q30" si="5">+C23-15018.5</f>
        <v>44923.136400000003</v>
      </c>
    </row>
    <row r="24" spans="1:21" ht="12.95" customHeight="1" x14ac:dyDescent="0.2">
      <c r="A24" s="39" t="s">
        <v>49</v>
      </c>
      <c r="B24" s="40" t="s">
        <v>48</v>
      </c>
      <c r="C24" s="39">
        <v>59959.533799999997</v>
      </c>
      <c r="D24" s="39">
        <v>3.5000000000000001E-3</v>
      </c>
      <c r="E24">
        <f t="shared" si="0"/>
        <v>24764.064150146329</v>
      </c>
      <c r="F24">
        <f t="shared" si="1"/>
        <v>24764</v>
      </c>
      <c r="G24">
        <f t="shared" si="2"/>
        <v>1.7007999995257705E-2</v>
      </c>
      <c r="K24">
        <f t="shared" si="3"/>
        <v>1.7007999995257705E-2</v>
      </c>
      <c r="O24">
        <f t="shared" ca="1" si="4"/>
        <v>1.6621252708542575E-2</v>
      </c>
      <c r="Q24" s="1">
        <f t="shared" si="5"/>
        <v>44941.033799999997</v>
      </c>
    </row>
    <row r="25" spans="1:21" ht="12.95" customHeight="1" x14ac:dyDescent="0.2">
      <c r="A25" s="39" t="s">
        <v>49</v>
      </c>
      <c r="B25" s="40" t="s">
        <v>48</v>
      </c>
      <c r="C25" s="39">
        <v>59959.665699999998</v>
      </c>
      <c r="D25" s="39">
        <v>3.5000000000000001E-3</v>
      </c>
      <c r="E25">
        <f t="shared" si="0"/>
        <v>24764.561645695649</v>
      </c>
      <c r="F25">
        <f t="shared" si="1"/>
        <v>24764.5</v>
      </c>
      <c r="G25">
        <f t="shared" si="2"/>
        <v>1.634399999602465E-2</v>
      </c>
      <c r="K25">
        <f t="shared" si="3"/>
        <v>1.634399999602465E-2</v>
      </c>
      <c r="O25">
        <f t="shared" ca="1" si="4"/>
        <v>1.6621589599176888E-2</v>
      </c>
      <c r="Q25" s="1">
        <f t="shared" si="5"/>
        <v>44941.165699999998</v>
      </c>
    </row>
    <row r="26" spans="1:21" ht="12.95" customHeight="1" x14ac:dyDescent="0.2">
      <c r="A26" s="39" t="s">
        <v>49</v>
      </c>
      <c r="B26" s="40" t="s">
        <v>48</v>
      </c>
      <c r="C26" s="39">
        <v>59999.567300000002</v>
      </c>
      <c r="D26" s="39">
        <v>3.5000000000000001E-3</v>
      </c>
      <c r="E26">
        <f t="shared" si="0"/>
        <v>24915.061027126521</v>
      </c>
      <c r="F26">
        <f t="shared" si="1"/>
        <v>24915</v>
      </c>
      <c r="G26">
        <f t="shared" si="2"/>
        <v>1.6179999998712447E-2</v>
      </c>
      <c r="K26">
        <f t="shared" si="3"/>
        <v>1.6179999998712447E-2</v>
      </c>
      <c r="O26">
        <f t="shared" ca="1" si="4"/>
        <v>1.6722993680103909E-2</v>
      </c>
      <c r="Q26" s="1">
        <f t="shared" si="5"/>
        <v>44981.067300000002</v>
      </c>
    </row>
    <row r="27" spans="1:21" ht="12.95" customHeight="1" x14ac:dyDescent="0.2">
      <c r="A27" s="39" t="s">
        <v>49</v>
      </c>
      <c r="B27" s="40" t="s">
        <v>48</v>
      </c>
      <c r="C27" s="39">
        <v>60023.429900000003</v>
      </c>
      <c r="D27" s="39">
        <v>3.5000000000000001E-3</v>
      </c>
      <c r="E27">
        <f t="shared" si="0"/>
        <v>25005.065100630643</v>
      </c>
      <c r="F27">
        <f t="shared" si="1"/>
        <v>25005</v>
      </c>
      <c r="G27">
        <f t="shared" si="2"/>
        <v>1.7260000000533182E-2</v>
      </c>
      <c r="K27">
        <f t="shared" si="3"/>
        <v>1.7260000000533182E-2</v>
      </c>
      <c r="O27">
        <f t="shared" ca="1" si="4"/>
        <v>1.678363399427954E-2</v>
      </c>
      <c r="Q27" s="1">
        <f t="shared" si="5"/>
        <v>45004.929900000003</v>
      </c>
    </row>
    <row r="28" spans="1:21" ht="12.95" customHeight="1" x14ac:dyDescent="0.2">
      <c r="A28" s="39" t="s">
        <v>49</v>
      </c>
      <c r="B28" s="40" t="s">
        <v>48</v>
      </c>
      <c r="C28" s="39">
        <v>60029.396099999998</v>
      </c>
      <c r="D28" s="39">
        <v>3.5000000000000001E-3</v>
      </c>
      <c r="E28">
        <f t="shared" si="0"/>
        <v>25027.568193476345</v>
      </c>
      <c r="F28">
        <f t="shared" si="1"/>
        <v>25027.5</v>
      </c>
      <c r="G28">
        <f t="shared" si="2"/>
        <v>1.8079999994370155E-2</v>
      </c>
      <c r="K28">
        <f t="shared" si="3"/>
        <v>1.8079999994370155E-2</v>
      </c>
      <c r="O28">
        <f t="shared" ca="1" si="4"/>
        <v>1.6798794072823447E-2</v>
      </c>
      <c r="Q28" s="1">
        <f t="shared" si="5"/>
        <v>45010.896099999998</v>
      </c>
    </row>
    <row r="29" spans="1:21" ht="12.95" customHeight="1" x14ac:dyDescent="0.2">
      <c r="A29" s="39" t="s">
        <v>49</v>
      </c>
      <c r="B29" s="40" t="s">
        <v>48</v>
      </c>
      <c r="C29" s="39">
        <v>60031.383699999998</v>
      </c>
      <c r="D29" s="39">
        <v>3.5000000000000001E-3</v>
      </c>
      <c r="E29">
        <f t="shared" si="0"/>
        <v>25035.064949760104</v>
      </c>
      <c r="F29">
        <f t="shared" si="1"/>
        <v>25035</v>
      </c>
      <c r="G29">
        <f t="shared" si="2"/>
        <v>1.721999999426771E-2</v>
      </c>
      <c r="K29">
        <f t="shared" si="3"/>
        <v>1.721999999426771E-2</v>
      </c>
      <c r="O29">
        <f t="shared" ca="1" si="4"/>
        <v>1.6803847432338079E-2</v>
      </c>
      <c r="Q29" s="1">
        <f t="shared" si="5"/>
        <v>45012.883699999998</v>
      </c>
    </row>
    <row r="30" spans="1:21" ht="12.95" customHeight="1" x14ac:dyDescent="0.2">
      <c r="A30" s="39" t="s">
        <v>49</v>
      </c>
      <c r="B30" s="40" t="s">
        <v>48</v>
      </c>
      <c r="C30" s="39">
        <v>60031.515700000004</v>
      </c>
      <c r="D30" s="39">
        <v>3.5000000000000001E-3</v>
      </c>
      <c r="E30">
        <f t="shared" si="0"/>
        <v>25035.56282248575</v>
      </c>
      <c r="F30">
        <f t="shared" si="1"/>
        <v>25035.5</v>
      </c>
      <c r="G30">
        <f t="shared" si="2"/>
        <v>1.6655999999784399E-2</v>
      </c>
      <c r="K30">
        <f t="shared" si="3"/>
        <v>1.6655999999784399E-2</v>
      </c>
      <c r="O30">
        <f t="shared" ca="1" si="4"/>
        <v>1.6804184322972392E-2</v>
      </c>
      <c r="Q30" s="1">
        <f t="shared" si="5"/>
        <v>45013.015700000004</v>
      </c>
    </row>
    <row r="31" spans="1:21" ht="12.95" customHeight="1" x14ac:dyDescent="0.2">
      <c r="C31" s="6"/>
      <c r="D31" s="6"/>
      <c r="Q31" s="1"/>
    </row>
    <row r="32" spans="1:21" ht="12.95" customHeight="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mergeCells count="1">
    <mergeCell ref="A1:D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2024-08-25T04:49:41Z</dcterms:modified>
</cp:coreProperties>
</file>