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5FA1D4-D570-4569-AA20-8182FABFF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0" i="1" l="1"/>
  <c r="Q69" i="1"/>
  <c r="Q68" i="1"/>
  <c r="D9" i="1"/>
  <c r="C9" i="1"/>
  <c r="Q67" i="1"/>
  <c r="Q65" i="1"/>
  <c r="Q64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G11" i="2"/>
  <c r="C11" i="2"/>
  <c r="G18" i="2"/>
  <c r="C18" i="2"/>
  <c r="G56" i="2"/>
  <c r="C56" i="2"/>
  <c r="G55" i="2"/>
  <c r="C55" i="2"/>
  <c r="G17" i="2"/>
  <c r="C17" i="2"/>
  <c r="G16" i="2"/>
  <c r="C16" i="2"/>
  <c r="G15" i="2"/>
  <c r="C15" i="2"/>
  <c r="G14" i="2"/>
  <c r="C14" i="2"/>
  <c r="G13" i="2"/>
  <c r="C13" i="2"/>
  <c r="G12" i="2"/>
  <c r="C12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11" i="2"/>
  <c r="B11" i="2"/>
  <c r="D11" i="2"/>
  <c r="A11" i="2"/>
  <c r="H18" i="2"/>
  <c r="B18" i="2"/>
  <c r="D18" i="2"/>
  <c r="A18" i="2"/>
  <c r="H56" i="2"/>
  <c r="B56" i="2"/>
  <c r="D56" i="2"/>
  <c r="A56" i="2"/>
  <c r="H55" i="2"/>
  <c r="B55" i="2"/>
  <c r="D55" i="2"/>
  <c r="A55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F16" i="1"/>
  <c r="Q66" i="1"/>
  <c r="Q62" i="1"/>
  <c r="Q63" i="1"/>
  <c r="C17" i="1"/>
  <c r="Q58" i="1"/>
  <c r="Q59" i="1"/>
  <c r="Q60" i="1"/>
  <c r="Q61" i="1"/>
  <c r="C8" i="1"/>
  <c r="E55" i="1" s="1"/>
  <c r="C7" i="1"/>
  <c r="E70" i="1" s="1"/>
  <c r="F70" i="1" s="1"/>
  <c r="G70" i="1" s="1"/>
  <c r="K70" i="1" s="1"/>
  <c r="Q29" i="1"/>
  <c r="E63" i="1"/>
  <c r="F63" i="1" s="1"/>
  <c r="E26" i="1"/>
  <c r="F26" i="1" s="1"/>
  <c r="E58" i="1"/>
  <c r="F58" i="1" s="1"/>
  <c r="E12" i="2"/>
  <c r="E52" i="2" l="1"/>
  <c r="F55" i="1"/>
  <c r="G55" i="1" s="1"/>
  <c r="H55" i="1" s="1"/>
  <c r="F17" i="1"/>
  <c r="E47" i="1"/>
  <c r="E66" i="1"/>
  <c r="E57" i="1"/>
  <c r="E33" i="1"/>
  <c r="E68" i="1"/>
  <c r="F68" i="1" s="1"/>
  <c r="G68" i="1" s="1"/>
  <c r="K68" i="1" s="1"/>
  <c r="E38" i="1"/>
  <c r="E48" i="1"/>
  <c r="E69" i="1"/>
  <c r="F69" i="1" s="1"/>
  <c r="G69" i="1" s="1"/>
  <c r="K69" i="1" s="1"/>
  <c r="E50" i="1"/>
  <c r="E29" i="1"/>
  <c r="F29" i="1" s="1"/>
  <c r="E34" i="1"/>
  <c r="E24" i="2"/>
  <c r="E59" i="1"/>
  <c r="E67" i="1"/>
  <c r="E43" i="1"/>
  <c r="E23" i="1"/>
  <c r="E25" i="1"/>
  <c r="E17" i="2"/>
  <c r="E37" i="1"/>
  <c r="E41" i="1"/>
  <c r="E46" i="1"/>
  <c r="E44" i="1"/>
  <c r="E62" i="1"/>
  <c r="E30" i="1"/>
  <c r="E51" i="1"/>
  <c r="E24" i="1"/>
  <c r="G58" i="1"/>
  <c r="I58" i="1" s="1"/>
  <c r="E21" i="1"/>
  <c r="G26" i="1"/>
  <c r="H26" i="1" s="1"/>
  <c r="G63" i="1"/>
  <c r="J63" i="1" s="1"/>
  <c r="E52" i="1"/>
  <c r="E42" i="1"/>
  <c r="E61" i="1"/>
  <c r="E60" i="1"/>
  <c r="E40" i="1"/>
  <c r="E28" i="1"/>
  <c r="E53" i="1"/>
  <c r="E39" i="1"/>
  <c r="G29" i="1"/>
  <c r="H29" i="1" s="1"/>
  <c r="E27" i="1"/>
  <c r="E32" i="1"/>
  <c r="E22" i="1"/>
  <c r="E45" i="1"/>
  <c r="E35" i="1"/>
  <c r="E64" i="1"/>
  <c r="E54" i="1"/>
  <c r="E31" i="1"/>
  <c r="E36" i="1"/>
  <c r="E56" i="1"/>
  <c r="E65" i="1"/>
  <c r="E49" i="1"/>
  <c r="E21" i="2" l="1"/>
  <c r="F23" i="1"/>
  <c r="G23" i="1" s="1"/>
  <c r="H23" i="1" s="1"/>
  <c r="F31" i="1"/>
  <c r="G31" i="1" s="1"/>
  <c r="H31" i="1" s="1"/>
  <c r="E28" i="2"/>
  <c r="E25" i="2"/>
  <c r="F27" i="1"/>
  <c r="G27" i="1" s="1"/>
  <c r="H27" i="1" s="1"/>
  <c r="E40" i="2"/>
  <c r="F43" i="1"/>
  <c r="G43" i="1" s="1"/>
  <c r="H43" i="1" s="1"/>
  <c r="F33" i="1"/>
  <c r="G33" i="1" s="1"/>
  <c r="H33" i="1" s="1"/>
  <c r="E30" i="2"/>
  <c r="F54" i="1"/>
  <c r="G54" i="1" s="1"/>
  <c r="H54" i="1" s="1"/>
  <c r="E51" i="2"/>
  <c r="E50" i="2"/>
  <c r="F53" i="1"/>
  <c r="G53" i="1" s="1"/>
  <c r="H53" i="1" s="1"/>
  <c r="E41" i="2"/>
  <c r="F44" i="1"/>
  <c r="G44" i="1" s="1"/>
  <c r="H44" i="1" s="1"/>
  <c r="E11" i="2"/>
  <c r="F67" i="1"/>
  <c r="G67" i="1" s="1"/>
  <c r="J67" i="1" s="1"/>
  <c r="F57" i="1"/>
  <c r="G57" i="1" s="1"/>
  <c r="H57" i="1" s="1"/>
  <c r="E54" i="2"/>
  <c r="F39" i="1"/>
  <c r="G39" i="1" s="1"/>
  <c r="H39" i="1" s="1"/>
  <c r="E36" i="2"/>
  <c r="F46" i="1"/>
  <c r="G46" i="1" s="1"/>
  <c r="H46" i="1" s="1"/>
  <c r="E43" i="2"/>
  <c r="E18" i="2"/>
  <c r="F66" i="1"/>
  <c r="G66" i="1" s="1"/>
  <c r="J66" i="1" s="1"/>
  <c r="E32" i="2"/>
  <c r="F35" i="1"/>
  <c r="G35" i="1" s="1"/>
  <c r="H35" i="1" s="1"/>
  <c r="F40" i="1"/>
  <c r="G40" i="1" s="1"/>
  <c r="H40" i="1" s="1"/>
  <c r="E37" i="2"/>
  <c r="E38" i="2"/>
  <c r="F41" i="1"/>
  <c r="G41" i="1" s="1"/>
  <c r="H41" i="1" s="1"/>
  <c r="E13" i="2"/>
  <c r="F59" i="1"/>
  <c r="G59" i="1" s="1"/>
  <c r="F47" i="1"/>
  <c r="G47" i="1" s="1"/>
  <c r="H47" i="1" s="1"/>
  <c r="E44" i="2"/>
  <c r="E27" i="2"/>
  <c r="F30" i="1"/>
  <c r="G30" i="1" s="1"/>
  <c r="H30" i="1" s="1"/>
  <c r="F64" i="1"/>
  <c r="G64" i="1" s="1"/>
  <c r="K64" i="1" s="1"/>
  <c r="E55" i="2"/>
  <c r="F49" i="1"/>
  <c r="G49" i="1" s="1"/>
  <c r="H49" i="1" s="1"/>
  <c r="E46" i="2"/>
  <c r="F60" i="1"/>
  <c r="G60" i="1" s="1"/>
  <c r="I60" i="1" s="1"/>
  <c r="E14" i="2"/>
  <c r="F37" i="1"/>
  <c r="G37" i="1" s="1"/>
  <c r="H37" i="1" s="1"/>
  <c r="E34" i="2"/>
  <c r="F48" i="1"/>
  <c r="G48" i="1" s="1"/>
  <c r="H48" i="1" s="1"/>
  <c r="E45" i="2"/>
  <c r="F36" i="1"/>
  <c r="G36" i="1" s="1"/>
  <c r="H36" i="1" s="1"/>
  <c r="E33" i="2"/>
  <c r="E49" i="2"/>
  <c r="F52" i="1"/>
  <c r="G52" i="1" s="1"/>
  <c r="H52" i="1" s="1"/>
  <c r="E16" i="2"/>
  <c r="F62" i="1"/>
  <c r="G62" i="1" s="1"/>
  <c r="J62" i="1" s="1"/>
  <c r="F21" i="1"/>
  <c r="G21" i="1" s="1"/>
  <c r="H21" i="1" s="1"/>
  <c r="E19" i="2"/>
  <c r="E56" i="2"/>
  <c r="F65" i="1"/>
  <c r="G65" i="1" s="1"/>
  <c r="K65" i="1" s="1"/>
  <c r="E42" i="2"/>
  <c r="F45" i="1"/>
  <c r="G45" i="1" s="1"/>
  <c r="H45" i="1" s="1"/>
  <c r="F61" i="1"/>
  <c r="G61" i="1" s="1"/>
  <c r="I61" i="1" s="1"/>
  <c r="E15" i="2"/>
  <c r="E22" i="2"/>
  <c r="F24" i="1"/>
  <c r="G24" i="1" s="1"/>
  <c r="H24" i="1" s="1"/>
  <c r="F34" i="1"/>
  <c r="G34" i="1" s="1"/>
  <c r="H34" i="1" s="1"/>
  <c r="E31" i="2"/>
  <c r="F38" i="1"/>
  <c r="G38" i="1" s="1"/>
  <c r="H38" i="1" s="1"/>
  <c r="E35" i="2"/>
  <c r="E29" i="2"/>
  <c r="F32" i="1"/>
  <c r="G32" i="1" s="1"/>
  <c r="H32" i="1" s="1"/>
  <c r="E47" i="2"/>
  <c r="F50" i="1"/>
  <c r="G50" i="1" s="1"/>
  <c r="H50" i="1" s="1"/>
  <c r="F28" i="1"/>
  <c r="G28" i="1" s="1"/>
  <c r="H28" i="1" s="1"/>
  <c r="E26" i="2"/>
  <c r="F56" i="1"/>
  <c r="G56" i="1" s="1"/>
  <c r="H56" i="1" s="1"/>
  <c r="E53" i="2"/>
  <c r="E20" i="2"/>
  <c r="F22" i="1"/>
  <c r="G22" i="1" s="1"/>
  <c r="H22" i="1" s="1"/>
  <c r="F42" i="1"/>
  <c r="G42" i="1" s="1"/>
  <c r="H42" i="1" s="1"/>
  <c r="E39" i="2"/>
  <c r="E48" i="2"/>
  <c r="F51" i="1"/>
  <c r="G51" i="1" s="1"/>
  <c r="H51" i="1" s="1"/>
  <c r="F25" i="1"/>
  <c r="G25" i="1" s="1"/>
  <c r="H25" i="1" s="1"/>
  <c r="E23" i="2"/>
  <c r="C11" i="1"/>
  <c r="C12" i="1"/>
  <c r="C16" i="1" l="1"/>
  <c r="D18" i="1" s="1"/>
  <c r="O37" i="1"/>
  <c r="O41" i="1"/>
  <c r="O48" i="1"/>
  <c r="O57" i="1"/>
  <c r="O38" i="1"/>
  <c r="O46" i="1"/>
  <c r="O34" i="1"/>
  <c r="O21" i="1"/>
  <c r="O25" i="1"/>
  <c r="O28" i="1"/>
  <c r="O24" i="1"/>
  <c r="O52" i="1"/>
  <c r="O51" i="1"/>
  <c r="O50" i="1"/>
  <c r="O65" i="1"/>
  <c r="O30" i="1"/>
  <c r="O54" i="1"/>
  <c r="O66" i="1"/>
  <c r="O32" i="1"/>
  <c r="O35" i="1"/>
  <c r="O49" i="1"/>
  <c r="O61" i="1"/>
  <c r="O42" i="1"/>
  <c r="O44" i="1"/>
  <c r="O22" i="1"/>
  <c r="O64" i="1"/>
  <c r="O26" i="1"/>
  <c r="O47" i="1"/>
  <c r="C15" i="1"/>
  <c r="O53" i="1"/>
  <c r="O36" i="1"/>
  <c r="O63" i="1"/>
  <c r="O70" i="1"/>
  <c r="O45" i="1"/>
  <c r="O58" i="1"/>
  <c r="O67" i="1"/>
  <c r="O60" i="1"/>
  <c r="O43" i="1"/>
  <c r="O56" i="1"/>
  <c r="O68" i="1"/>
  <c r="O69" i="1"/>
  <c r="O40" i="1"/>
  <c r="O27" i="1"/>
  <c r="O39" i="1"/>
  <c r="O55" i="1"/>
  <c r="O62" i="1"/>
  <c r="O59" i="1"/>
  <c r="O23" i="1"/>
  <c r="O29" i="1"/>
  <c r="O31" i="1"/>
  <c r="O33" i="1"/>
  <c r="I59" i="1"/>
  <c r="C18" i="1" l="1"/>
  <c r="F18" i="1"/>
  <c r="F19" i="1" s="1"/>
</calcChain>
</file>

<file path=xl/sharedStrings.xml><?xml version="1.0" encoding="utf-8"?>
<sst xmlns="http://schemas.openxmlformats.org/spreadsheetml/2006/main" count="493" uniqueCount="245">
  <si>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</si>
  <si>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</si>
  <si>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</si>
  <si>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</si>
  <si>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</si>
  <si>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</si>
  <si>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</si>
  <si>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</si>
  <si>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</si>
  <si>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</si>
  <si>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</si>
  <si>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</si>
  <si>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</si>
  <si>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</si>
  <si>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</si>
  <si>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</si>
  <si>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</si>
  <si>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</si>
  <si>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</si>
  <si>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</si>
  <si>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</si>
  <si>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</si>
  <si>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</si>
  <si>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</si>
  <si>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</si>
  <si>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</si>
  <si>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v</t>
  </si>
  <si>
    <t>BAAVSS 64,21</t>
  </si>
  <si>
    <t>K</t>
  </si>
  <si>
    <t>Locher K</t>
  </si>
  <si>
    <t>BBSAG Bull.87</t>
  </si>
  <si>
    <t>B</t>
  </si>
  <si>
    <t>BBSAG Bull.94</t>
  </si>
  <si>
    <t>BBSAG Bull.97</t>
  </si>
  <si>
    <t># of data points:</t>
  </si>
  <si>
    <t>RT Leo / GSC 1413-0086</t>
  </si>
  <si>
    <t>IBVS 5731</t>
  </si>
  <si>
    <t>EA/SD</t>
  </si>
  <si>
    <t>IBVS 6149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</si>
  <si>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</si>
  <si>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</si>
  <si>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</si>
  <si>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</si>
  <si>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</si>
  <si>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</si>
  <si>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</si>
  <si>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</si>
  <si>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</si>
  <si>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</si>
  <si>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</si>
  <si>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</si>
  <si>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</si>
  <si>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</si>
  <si>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</si>
  <si>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</si>
  <si>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</si>
  <si>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</si>
  <si>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</si>
  <si>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</si>
  <si>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</si>
  <si>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</si>
  <si>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</si>
  <si>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2420224.360 </t>
  </si>
  <si>
    <t> 01.04.1914 20:38 </t>
  </si>
  <si>
    <t> 0.005 </t>
  </si>
  <si>
    <t>V </t>
  </si>
  <si>
    <t> E.Zinner </t>
  </si>
  <si>
    <t> SAC 4.46 </t>
  </si>
  <si>
    <t>2420894.59 </t>
  </si>
  <si>
    <t> 01.02.1916 02:09 </t>
  </si>
  <si>
    <t> -0.08 </t>
  </si>
  <si>
    <t>P </t>
  </si>
  <si>
    <t> P.Parenago </t>
  </si>
  <si>
    <t> PZ 4.157 </t>
  </si>
  <si>
    <t>2421728.798 </t>
  </si>
  <si>
    <t> 15.05.1918 07:09 </t>
  </si>
  <si>
    <t> -0.034 </t>
  </si>
  <si>
    <t> A.A.Nijland </t>
  </si>
  <si>
    <t> AN 242.11 </t>
  </si>
  <si>
    <t>2421967.173 </t>
  </si>
  <si>
    <t> 08.01.1919 16:09 </t>
  </si>
  <si>
    <t> 0.008 </t>
  </si>
  <si>
    <t>2422369.351 </t>
  </si>
  <si>
    <t> 14.02.1920 20:25 </t>
  </si>
  <si>
    <t> -0.001 </t>
  </si>
  <si>
    <t>2423434.420 </t>
  </si>
  <si>
    <t> 14.01.1923 22:04 </t>
  </si>
  <si>
    <t> 0.018 </t>
  </si>
  <si>
    <t>2423516.323 </t>
  </si>
  <si>
    <t> 06.04.1923 19:45 </t>
  </si>
  <si>
    <t> -0.006 </t>
  </si>
  <si>
    <t>2423844.014 </t>
  </si>
  <si>
    <t> 28.02.1924 12:20 </t>
  </si>
  <si>
    <t> -0.023 </t>
  </si>
  <si>
    <t>2424231.325 </t>
  </si>
  <si>
    <t> 21.03.1925 19:48 </t>
  </si>
  <si>
    <t>2424253.683 </t>
  </si>
  <si>
    <t> 13.04.1925 04:23 </t>
  </si>
  <si>
    <t> 0.011 </t>
  </si>
  <si>
    <t> M.Beyer </t>
  </si>
  <si>
    <t> AN 258.291 </t>
  </si>
  <si>
    <t>2424596.285 </t>
  </si>
  <si>
    <t> 21.03.1926 18:50 </t>
  </si>
  <si>
    <t> 0.009 </t>
  </si>
  <si>
    <t>2424618.597 </t>
  </si>
  <si>
    <t> 13.04.1926 02:19 </t>
  </si>
  <si>
    <t> -0.022 </t>
  </si>
  <si>
    <t>2424879.286 </t>
  </si>
  <si>
    <t> 29.12.1926 18:51 </t>
  </si>
  <si>
    <t> -0.010 </t>
  </si>
  <si>
    <t>2424961.230 </t>
  </si>
  <si>
    <t> 21.03.1927 17:31 </t>
  </si>
  <si>
    <t> 0.007 </t>
  </si>
  <si>
    <t>2425333.608 </t>
  </si>
  <si>
    <t> 28.03.1928 02:35 </t>
  </si>
  <si>
    <t> D.B.McLaughlin </t>
  </si>
  <si>
    <t> AJ 39.85 </t>
  </si>
  <si>
    <t>2425378.325 </t>
  </si>
  <si>
    <t> 11.05.1928 19:48 </t>
  </si>
  <si>
    <t> 0.019 </t>
  </si>
  <si>
    <t>2425631.551 </t>
  </si>
  <si>
    <t> 20.01.1929 01:13 </t>
  </si>
  <si>
    <t> 0.017 </t>
  </si>
  <si>
    <t>2425698.563 </t>
  </si>
  <si>
    <t> 28.03.1929 01:30 </t>
  </si>
  <si>
    <t>2427545.687 </t>
  </si>
  <si>
    <t> 18.04.1934 04:29 </t>
  </si>
  <si>
    <t> 0.041 </t>
  </si>
  <si>
    <t> F.Lause </t>
  </si>
  <si>
    <t> AN 264.105 </t>
  </si>
  <si>
    <t>2427873.354 </t>
  </si>
  <si>
    <t> 11.03.1935 20:29 </t>
  </si>
  <si>
    <t> -0.000 </t>
  </si>
  <si>
    <t>2427888.249 </t>
  </si>
  <si>
    <t> 26.03.1935 17:58 </t>
  </si>
  <si>
    <t>2427925.490 </t>
  </si>
  <si>
    <t> 02.05.1935 23:45 </t>
  </si>
  <si>
    <t> 0.001 </t>
  </si>
  <si>
    <t>2428253.214 </t>
  </si>
  <si>
    <t> 25.03.1936 17:08 </t>
  </si>
  <si>
    <t>2428498.988 </t>
  </si>
  <si>
    <t> 26.11.1936 11:42 </t>
  </si>
  <si>
    <t> 0.010 </t>
  </si>
  <si>
    <t>2428521.352 </t>
  </si>
  <si>
    <t> 18.12.1936 20:26 </t>
  </si>
  <si>
    <t> 0.030 </t>
  </si>
  <si>
    <t>2428543.632 </t>
  </si>
  <si>
    <t> 10.01.1937 03:10 </t>
  </si>
  <si>
    <t>2428566.100 </t>
  </si>
  <si>
    <t> 01.02.1937 14:24 </t>
  </si>
  <si>
    <t> 0.091 </t>
  </si>
  <si>
    <t>2428573.475 </t>
  </si>
  <si>
    <t> 08.02.1937 23:24 </t>
  </si>
  <si>
    <t>2430979.167 </t>
  </si>
  <si>
    <t> 11.09.1943 16:00 </t>
  </si>
  <si>
    <t> 0.036 </t>
  </si>
  <si>
    <t> S.Gaposchkin </t>
  </si>
  <si>
    <t> HA 113.74 </t>
  </si>
  <si>
    <t>2432617.659 </t>
  </si>
  <si>
    <t> 07.03.1948 03:48 </t>
  </si>
  <si>
    <t> -0.011 </t>
  </si>
  <si>
    <t> R.Szafraniec </t>
  </si>
  <si>
    <t> AAC 4.114 </t>
  </si>
  <si>
    <t>2434457.309 </t>
  </si>
  <si>
    <t> 20.03.1953 19:24 </t>
  </si>
  <si>
    <t> 0.006 </t>
  </si>
  <si>
    <t> AAC 5.191 </t>
  </si>
  <si>
    <t>2435924.554 </t>
  </si>
  <si>
    <t> 27.03.1957 01:17 </t>
  </si>
  <si>
    <t> 0.013 </t>
  </si>
  <si>
    <t> AA 8.191 </t>
  </si>
  <si>
    <t>2436289.456 </t>
  </si>
  <si>
    <t> 26.03.1958 22:56 </t>
  </si>
  <si>
    <t> -0.032 </t>
  </si>
  <si>
    <t> H.Huth </t>
  </si>
  <si>
    <t> MVS 2.124 </t>
  </si>
  <si>
    <t>2436684.392 </t>
  </si>
  <si>
    <t> 25.04.1959 21:24 </t>
  </si>
  <si>
    <t> 0.165 </t>
  </si>
  <si>
    <t>2437399.401 </t>
  </si>
  <si>
    <t> 09.04.1961 21:37 </t>
  </si>
  <si>
    <t> 0.175 </t>
  </si>
  <si>
    <t>2445033.321 </t>
  </si>
  <si>
    <t> 04.03.1982 19:42 </t>
  </si>
  <si>
    <t> -0.009 </t>
  </si>
  <si>
    <t> T.Brelstaff </t>
  </si>
  <si>
    <t> VSSC 60.21 </t>
  </si>
  <si>
    <t>2446113.277 </t>
  </si>
  <si>
    <t> 16.02.1985 18:38 </t>
  </si>
  <si>
    <t> VSSC 64.24 </t>
  </si>
  <si>
    <t>2447230.484 </t>
  </si>
  <si>
    <t> 09.03.1988 23:36 </t>
  </si>
  <si>
    <t> 0.022 </t>
  </si>
  <si>
    <t> K.Locher </t>
  </si>
  <si>
    <t> BBS 87 </t>
  </si>
  <si>
    <t>2447945.446 </t>
  </si>
  <si>
    <t> 22.02.1990 22:42 </t>
  </si>
  <si>
    <t> -0.015 </t>
  </si>
  <si>
    <t> BBS 94 </t>
  </si>
  <si>
    <t>2448310.410 </t>
  </si>
  <si>
    <t> 22.02.1991 21:50 </t>
  </si>
  <si>
    <t> 0.002 </t>
  </si>
  <si>
    <t> BBS 97 </t>
  </si>
  <si>
    <t>2453814.4020 </t>
  </si>
  <si>
    <t> 19.03.2006 21:38 </t>
  </si>
  <si>
    <t> -0.0087 </t>
  </si>
  <si>
    <t>C </t>
  </si>
  <si>
    <t>-I</t>
  </si>
  <si>
    <t> F.Agerer </t>
  </si>
  <si>
    <t>BAVM 178 </t>
  </si>
  <si>
    <t>2453814.4141 </t>
  </si>
  <si>
    <t> 19.03.2006 21:56 </t>
  </si>
  <si>
    <t>4024</t>
  </si>
  <si>
    <t> 0.0034 </t>
  </si>
  <si>
    <t>o</t>
  </si>
  <si>
    <t> U.Schmidt </t>
  </si>
  <si>
    <t>2454827.3212 </t>
  </si>
  <si>
    <t> 26.12.2008 19:42 </t>
  </si>
  <si>
    <t>4160</t>
  </si>
  <si>
    <t> -0.0048 </t>
  </si>
  <si>
    <t> H.Itoh </t>
  </si>
  <si>
    <t>VSB 48 </t>
  </si>
  <si>
    <t>2456354.1426 </t>
  </si>
  <si>
    <t> 02.03.2013 15:25 </t>
  </si>
  <si>
    <t>4365</t>
  </si>
  <si>
    <t> -0.0041 </t>
  </si>
  <si>
    <t>Rc</t>
  </si>
  <si>
    <t> K.Shiokawa </t>
  </si>
  <si>
    <t>VSB 56 </t>
  </si>
  <si>
    <t>2456726.5370 </t>
  </si>
  <si>
    <t> 10.03.2014 00:53 </t>
  </si>
  <si>
    <t>4415</t>
  </si>
  <si>
    <t> -0.0050 </t>
  </si>
  <si>
    <t>BAVM 238 </t>
  </si>
  <si>
    <t>2457091.4765 </t>
  </si>
  <si>
    <t> 09.03.2015 23:26 </t>
  </si>
  <si>
    <t>4464</t>
  </si>
  <si>
    <t> -0.0129 </t>
  </si>
  <si>
    <t>BAVM 241 (=IBVS 6157) </t>
  </si>
  <si>
    <t>VSB-64</t>
  </si>
  <si>
    <t>s5</t>
  </si>
  <si>
    <t>s6</t>
  </si>
  <si>
    <t>s7</t>
  </si>
  <si>
    <t>JAVSO..48..256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</si>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</sst>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1" fillId="0" borderId="0" xfId="8" applyFont="1" applyAlignment="1">
      <alignment horizontal="left" vertical="center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Leo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44635811430433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5.3159999988565687E-3</c:v>
                </c:pt>
                <c:pt idx="1">
                  <c:v>-7.6224000000365777E-2</c:v>
                </c:pt>
                <c:pt idx="2">
                  <c:v>-3.369600000223727E-2</c:v>
                </c:pt>
                <c:pt idx="3">
                  <c:v>8.3119999981136061E-3</c:v>
                </c:pt>
                <c:pt idx="4">
                  <c:v>-6.1199999981909059E-4</c:v>
                </c:pt>
                <c:pt idx="5">
                  <c:v>1.7829999997047707E-2</c:v>
                </c:pt>
                <c:pt idx="6">
                  <c:v>-6.1359999999694992E-3</c:v>
                </c:pt>
                <c:pt idx="7">
                  <c:v>-2.3000000001047738E-2</c:v>
                </c:pt>
                <c:pt idx="8">
                  <c:v>0</c:v>
                </c:pt>
                <c:pt idx="9">
                  <c:v>-3.1119999985094182E-3</c:v>
                </c:pt>
                <c:pt idx="10">
                  <c:v>1.1170000001584413E-2</c:v>
                </c:pt>
                <c:pt idx="11">
                  <c:v>9.4939999980852008E-3</c:v>
                </c:pt>
                <c:pt idx="12">
                  <c:v>-2.2224000000278465E-2</c:v>
                </c:pt>
                <c:pt idx="13">
                  <c:v>-9.9340000015217811E-3</c:v>
                </c:pt>
                <c:pt idx="14">
                  <c:v>7.0999999988998752E-3</c:v>
                </c:pt>
                <c:pt idx="15">
                  <c:v>-1.0200000000622822E-2</c:v>
                </c:pt>
                <c:pt idx="16">
                  <c:v>1.9363999999768566E-2</c:v>
                </c:pt>
                <c:pt idx="17">
                  <c:v>1.6560000000026776E-2</c:v>
                </c:pt>
                <c:pt idx="18">
                  <c:v>-2.5940000014088582E-3</c:v>
                </c:pt>
                <c:pt idx="19">
                  <c:v>4.0718000000197208E-2</c:v>
                </c:pt>
                <c:pt idx="20">
                  <c:v>-1.4600000213249587E-4</c:v>
                </c:pt>
                <c:pt idx="21">
                  <c:v>-9.5800000053714029E-4</c:v>
                </c:pt>
                <c:pt idx="22">
                  <c:v>5.1200000234530307E-4</c:v>
                </c:pt>
                <c:pt idx="23">
                  <c:v>1.6648000000714092E-2</c:v>
                </c:pt>
                <c:pt idx="24">
                  <c:v>9.7500000010768417E-3</c:v>
                </c:pt>
                <c:pt idx="25">
                  <c:v>3.0031999998755055E-2</c:v>
                </c:pt>
                <c:pt idx="26">
                  <c:v>-3.3685999998851912E-2</c:v>
                </c:pt>
                <c:pt idx="27">
                  <c:v>9.0595999998186016E-2</c:v>
                </c:pt>
                <c:pt idx="28">
                  <c:v>1.7690000000584405E-2</c:v>
                </c:pt>
                <c:pt idx="29">
                  <c:v>3.6052000003110152E-2</c:v>
                </c:pt>
                <c:pt idx="30">
                  <c:v>-1.1268000002019107E-2</c:v>
                </c:pt>
                <c:pt idx="31">
                  <c:v>5.9499999988474883E-3</c:v>
                </c:pt>
                <c:pt idx="32">
                  <c:v>1.3467999997374136E-2</c:v>
                </c:pt>
                <c:pt idx="33">
                  <c:v>-3.1926000003295485E-2</c:v>
                </c:pt>
                <c:pt idx="34">
                  <c:v>0.16505599999800324</c:v>
                </c:pt>
                <c:pt idx="35">
                  <c:v>0.17508000000088941</c:v>
                </c:pt>
                <c:pt idx="36">
                  <c:v>-8.5699999981443398E-3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B5-4C70-8A1B-5C21FC5DC7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37">
                  <c:v>1.0600000023259781E-3</c:v>
                </c:pt>
                <c:pt idx="38">
                  <c:v>2.2159999993164092E-2</c:v>
                </c:pt>
                <c:pt idx="39">
                  <c:v>-1.4815999995335005E-2</c:v>
                </c:pt>
                <c:pt idx="40">
                  <c:v>1.7900000093504786E-3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B5-4C70-8A1B-5C21FC5DC7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1">
                  <c:v>-8.7439999988419004E-3</c:v>
                </c:pt>
                <c:pt idx="42">
                  <c:v>3.3560000010766089E-3</c:v>
                </c:pt>
                <c:pt idx="45">
                  <c:v>-4.9900000012712553E-3</c:v>
                </c:pt>
                <c:pt idx="46">
                  <c:v>-1.2884000003396068E-2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B5-4C70-8A1B-5C21FC5DC7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3">
                  <c:v>-4.7600000034435652E-3</c:v>
                </c:pt>
                <c:pt idx="44">
                  <c:v>-4.0899999949033372E-3</c:v>
                </c:pt>
                <c:pt idx="47">
                  <c:v>-5.9540000002016313E-3</c:v>
                </c:pt>
                <c:pt idx="48">
                  <c:v>-9.9900000059278682E-3</c:v>
                </c:pt>
                <c:pt idx="49">
                  <c:v>-1.8719999934546649E-3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B5-4C70-8A1B-5C21FC5DC7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B5-4C70-8A1B-5C21FC5DC7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B5-4C70-8A1B-5C21FC5DC7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8">
                    <c:v>0</c:v>
                  </c:pt>
                  <c:pt idx="40">
                    <c:v>8.0000000000000002E-3</c:v>
                  </c:pt>
                  <c:pt idx="41">
                    <c:v>5.0000000000000001E-3</c:v>
                  </c:pt>
                  <c:pt idx="42">
                    <c:v>4.1999999999999997E-3</c:v>
                  </c:pt>
                  <c:pt idx="45">
                    <c:v>8.0999999999999996E-3</c:v>
                  </c:pt>
                  <c:pt idx="46">
                    <c:v>1.49E-2</c:v>
                  </c:pt>
                  <c:pt idx="47">
                    <c:v>0</c:v>
                  </c:pt>
                  <c:pt idx="48">
                    <c:v>1.1999999999999999E-3</c:v>
                  </c:pt>
                  <c:pt idx="4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B5-4C70-8A1B-5C21FC5DC7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-486</c:v>
                </c:pt>
                <c:pt idx="1">
                  <c:v>-396</c:v>
                </c:pt>
                <c:pt idx="2">
                  <c:v>-284</c:v>
                </c:pt>
                <c:pt idx="3">
                  <c:v>-252</c:v>
                </c:pt>
                <c:pt idx="4">
                  <c:v>-198</c:v>
                </c:pt>
                <c:pt idx="5">
                  <c:v>-55</c:v>
                </c:pt>
                <c:pt idx="6">
                  <c:v>-44</c:v>
                </c:pt>
                <c:pt idx="7">
                  <c:v>0</c:v>
                </c:pt>
                <c:pt idx="8">
                  <c:v>0</c:v>
                </c:pt>
                <c:pt idx="9">
                  <c:v>52</c:v>
                </c:pt>
                <c:pt idx="10">
                  <c:v>55</c:v>
                </c:pt>
                <c:pt idx="11">
                  <c:v>101</c:v>
                </c:pt>
                <c:pt idx="12">
                  <c:v>104</c:v>
                </c:pt>
                <c:pt idx="13">
                  <c:v>139</c:v>
                </c:pt>
                <c:pt idx="14">
                  <c:v>150</c:v>
                </c:pt>
                <c:pt idx="15">
                  <c:v>200</c:v>
                </c:pt>
                <c:pt idx="16">
                  <c:v>206</c:v>
                </c:pt>
                <c:pt idx="17">
                  <c:v>240</c:v>
                </c:pt>
                <c:pt idx="18">
                  <c:v>249</c:v>
                </c:pt>
                <c:pt idx="19">
                  <c:v>497</c:v>
                </c:pt>
                <c:pt idx="20">
                  <c:v>541</c:v>
                </c:pt>
                <c:pt idx="21">
                  <c:v>543</c:v>
                </c:pt>
                <c:pt idx="22">
                  <c:v>548</c:v>
                </c:pt>
                <c:pt idx="23">
                  <c:v>592</c:v>
                </c:pt>
                <c:pt idx="24">
                  <c:v>625</c:v>
                </c:pt>
                <c:pt idx="25">
                  <c:v>628</c:v>
                </c:pt>
                <c:pt idx="26">
                  <c:v>631</c:v>
                </c:pt>
                <c:pt idx="27">
                  <c:v>634</c:v>
                </c:pt>
                <c:pt idx="28">
                  <c:v>635</c:v>
                </c:pt>
                <c:pt idx="29">
                  <c:v>958</c:v>
                </c:pt>
                <c:pt idx="30">
                  <c:v>1178</c:v>
                </c:pt>
                <c:pt idx="31">
                  <c:v>1425</c:v>
                </c:pt>
                <c:pt idx="32">
                  <c:v>1622</c:v>
                </c:pt>
                <c:pt idx="33">
                  <c:v>1671</c:v>
                </c:pt>
                <c:pt idx="34">
                  <c:v>1724</c:v>
                </c:pt>
                <c:pt idx="35">
                  <c:v>1820</c:v>
                </c:pt>
                <c:pt idx="36">
                  <c:v>2845</c:v>
                </c:pt>
                <c:pt idx="37">
                  <c:v>2990</c:v>
                </c:pt>
                <c:pt idx="38">
                  <c:v>3140</c:v>
                </c:pt>
                <c:pt idx="39">
                  <c:v>3236</c:v>
                </c:pt>
                <c:pt idx="40">
                  <c:v>3285</c:v>
                </c:pt>
                <c:pt idx="41">
                  <c:v>4024</c:v>
                </c:pt>
                <c:pt idx="42">
                  <c:v>4024</c:v>
                </c:pt>
                <c:pt idx="43">
                  <c:v>4160</c:v>
                </c:pt>
                <c:pt idx="44">
                  <c:v>4365</c:v>
                </c:pt>
                <c:pt idx="45">
                  <c:v>4415</c:v>
                </c:pt>
                <c:pt idx="46">
                  <c:v>4464</c:v>
                </c:pt>
                <c:pt idx="47">
                  <c:v>4559</c:v>
                </c:pt>
                <c:pt idx="48">
                  <c:v>4715</c:v>
                </c:pt>
                <c:pt idx="49">
                  <c:v>4812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3.0108977021682165E-2</c:v>
                </c:pt>
                <c:pt idx="1">
                  <c:v>2.9451363037149753E-2</c:v>
                </c:pt>
                <c:pt idx="2">
                  <c:v>2.8632998967509413E-2</c:v>
                </c:pt>
                <c:pt idx="3">
                  <c:v>2.839918066189789E-2</c:v>
                </c:pt>
                <c:pt idx="4">
                  <c:v>2.8004612271178439E-2</c:v>
                </c:pt>
                <c:pt idx="5">
                  <c:v>2.6959736717976936E-2</c:v>
                </c:pt>
                <c:pt idx="6">
                  <c:v>2.6879361675422975E-2</c:v>
                </c:pt>
                <c:pt idx="7">
                  <c:v>2.6557861505207128E-2</c:v>
                </c:pt>
                <c:pt idx="8">
                  <c:v>2.6557861505207128E-2</c:v>
                </c:pt>
                <c:pt idx="9">
                  <c:v>2.6177906758588401E-2</c:v>
                </c:pt>
                <c:pt idx="10">
                  <c:v>2.615598629243732E-2</c:v>
                </c:pt>
                <c:pt idx="11">
                  <c:v>2.5819872478120752E-2</c:v>
                </c:pt>
                <c:pt idx="12">
                  <c:v>2.5797952011969671E-2</c:v>
                </c:pt>
                <c:pt idx="13">
                  <c:v>2.5542213240207067E-2</c:v>
                </c:pt>
                <c:pt idx="14">
                  <c:v>2.5461838197653103E-2</c:v>
                </c:pt>
                <c:pt idx="15">
                  <c:v>2.5096497095135097E-2</c:v>
                </c:pt>
                <c:pt idx="16">
                  <c:v>2.5052656162832934E-2</c:v>
                </c:pt>
                <c:pt idx="17">
                  <c:v>2.4804224213120687E-2</c:v>
                </c:pt>
                <c:pt idx="18">
                  <c:v>2.4738462814667447E-2</c:v>
                </c:pt>
                <c:pt idx="19">
                  <c:v>2.2926370946178127E-2</c:v>
                </c:pt>
                <c:pt idx="20">
                  <c:v>2.260487077596228E-2</c:v>
                </c:pt>
                <c:pt idx="21">
                  <c:v>2.2590257131861559E-2</c:v>
                </c:pt>
                <c:pt idx="22">
                  <c:v>2.255372302160976E-2</c:v>
                </c:pt>
                <c:pt idx="23">
                  <c:v>2.2232222851393913E-2</c:v>
                </c:pt>
                <c:pt idx="24">
                  <c:v>2.1991097723732027E-2</c:v>
                </c:pt>
                <c:pt idx="25">
                  <c:v>2.1969177257580946E-2</c:v>
                </c:pt>
                <c:pt idx="26">
                  <c:v>2.1947256791429864E-2</c:v>
                </c:pt>
                <c:pt idx="27">
                  <c:v>2.1925336325278787E-2</c:v>
                </c:pt>
                <c:pt idx="28">
                  <c:v>2.1918029503228426E-2</c:v>
                </c:pt>
                <c:pt idx="29">
                  <c:v>1.9557925980962093E-2</c:v>
                </c:pt>
                <c:pt idx="30">
                  <c:v>1.7950425129882857E-2</c:v>
                </c:pt>
                <c:pt idx="31">
                  <c:v>1.6145640083443897E-2</c:v>
                </c:pt>
                <c:pt idx="32">
                  <c:v>1.4706196139522945E-2</c:v>
                </c:pt>
                <c:pt idx="33">
                  <c:v>1.4348161859055297E-2</c:v>
                </c:pt>
                <c:pt idx="34">
                  <c:v>1.3960900290386208E-2</c:v>
                </c:pt>
                <c:pt idx="35">
                  <c:v>1.3259445373551634E-2</c:v>
                </c:pt>
                <c:pt idx="36">
                  <c:v>5.7699527719324677E-3</c:v>
                </c:pt>
                <c:pt idx="37">
                  <c:v>4.7104635746302442E-3</c:v>
                </c:pt>
                <c:pt idx="38">
                  <c:v>3.6144402670762188E-3</c:v>
                </c:pt>
                <c:pt idx="39">
                  <c:v>2.9129853502416446E-3</c:v>
                </c:pt>
                <c:pt idx="40">
                  <c:v>2.5549510697739954E-3</c:v>
                </c:pt>
                <c:pt idx="41">
                  <c:v>-2.844790425442164E-3</c:v>
                </c:pt>
                <c:pt idx="42">
                  <c:v>-2.844790425442164E-3</c:v>
                </c:pt>
                <c:pt idx="43">
                  <c:v>-3.8385182242911473E-3</c:v>
                </c:pt>
                <c:pt idx="44">
                  <c:v>-5.3364167446149774E-3</c:v>
                </c:pt>
                <c:pt idx="45">
                  <c:v>-5.7017578471329905E-3</c:v>
                </c:pt>
                <c:pt idx="46">
                  <c:v>-6.0597921276006328E-3</c:v>
                </c:pt>
                <c:pt idx="47">
                  <c:v>-6.7539402223848535E-3</c:v>
                </c:pt>
                <c:pt idx="48">
                  <c:v>-7.8938044622410344E-3</c:v>
                </c:pt>
                <c:pt idx="49">
                  <c:v>-8.602566201125969E-3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B5-4C70-8A1B-5C21FC5DC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46192"/>
        <c:axId val="1"/>
      </c:scatterChart>
      <c:valAx>
        <c:axId val="80304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46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104775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0A7EE47-AAAD-66F2-63C5-BF814EC1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1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 s="20" customFormat="1" ht="12.95" customHeight="1">
      <c r="A2" s="20" t="s">
        <v>25</v>
      </c>
      <c r="B2" s="21" t="s">
        <v>37</v>
      </c>
    </row>
    <row r="3" spans="1:6" s="20" customFormat="1" ht="12.95" customHeight="1"/>
    <row r="4" spans="1:6" s="20" customFormat="1" ht="12.95" customHeight="1">
      <c r="A4" s="22" t="s">
        <v>0</v>
      </c>
      <c r="C4" s="23">
        <v>23844.037</v>
      </c>
      <c r="D4" s="24">
        <v>7.4479059999999997</v>
      </c>
    </row>
    <row r="5" spans="1:6" s="20" customFormat="1" ht="12.95" customHeight="1">
      <c r="A5" s="25" t="s">
        <v>39</v>
      </c>
      <c r="C5" s="26">
        <v>-9.5</v>
      </c>
      <c r="D5" s="20" t="s">
        <v>40</v>
      </c>
    </row>
    <row r="6" spans="1:6" s="20" customFormat="1" ht="12.95" customHeight="1">
      <c r="A6" s="22" t="s">
        <v>1</v>
      </c>
    </row>
    <row r="7" spans="1:6" s="20" customFormat="1" ht="12.95" customHeight="1">
      <c r="A7" s="20" t="s">
        <v>2</v>
      </c>
      <c r="C7" s="20">
        <f>+C4</f>
        <v>23844.037</v>
      </c>
    </row>
    <row r="8" spans="1:6" s="20" customFormat="1" ht="12.95" customHeight="1">
      <c r="A8" s="20" t="s">
        <v>3</v>
      </c>
      <c r="C8" s="20">
        <f>+D4</f>
        <v>7.4479059999999997</v>
      </c>
    </row>
    <row r="9" spans="1:6" s="20" customFormat="1" ht="12.95" customHeight="1">
      <c r="A9" s="27" t="s">
        <v>41</v>
      </c>
      <c r="B9" s="28">
        <v>59</v>
      </c>
      <c r="C9" s="29" t="str">
        <f>"F"&amp;B9</f>
        <v>F59</v>
      </c>
      <c r="D9" s="30" t="str">
        <f>"G"&amp;B9</f>
        <v>G59</v>
      </c>
    </row>
    <row r="10" spans="1:6" s="20" customFormat="1" ht="12.95" customHeight="1" thickBot="1">
      <c r="C10" s="31" t="s">
        <v>20</v>
      </c>
      <c r="D10" s="31" t="s">
        <v>21</v>
      </c>
    </row>
    <row r="11" spans="1:6" s="20" customFormat="1" ht="12.95" customHeight="1">
      <c r="A11" s="20" t="s">
        <v>16</v>
      </c>
      <c r="C11" s="30">
        <f ca="1">INTERCEPT(INDIRECT($D$9):G962,INDIRECT($C$9):F962)</f>
        <v>2.6557861505207128E-2</v>
      </c>
      <c r="D11" s="32"/>
    </row>
    <row r="12" spans="1:6" s="20" customFormat="1" ht="12.95" customHeight="1">
      <c r="A12" s="20" t="s">
        <v>17</v>
      </c>
      <c r="C12" s="30">
        <f ca="1">SLOPE(INDIRECT($D$9):G962,INDIRECT($C$9):F962)</f>
        <v>-7.306822050360162E-6</v>
      </c>
      <c r="D12" s="32"/>
    </row>
    <row r="13" spans="1:6" s="20" customFormat="1" ht="12.95" customHeight="1">
      <c r="A13" s="20" t="s">
        <v>19</v>
      </c>
      <c r="C13" s="32" t="s">
        <v>14</v>
      </c>
      <c r="D13" s="32"/>
    </row>
    <row r="14" spans="1:6" s="20" customFormat="1" ht="12.95" customHeight="1">
      <c r="A14" s="20" t="s">
        <v>24</v>
      </c>
    </row>
    <row r="15" spans="1:6" s="20" customFormat="1" ht="12.95" customHeight="1">
      <c r="A15" s="33" t="s">
        <v>18</v>
      </c>
      <c r="C15" s="34">
        <f ca="1">(C7+C11)+(C8+C12)*INT(MAX(F21:F3532))</f>
        <v>59683.352069433793</v>
      </c>
      <c r="E15" s="35" t="s">
        <v>42</v>
      </c>
      <c r="F15" s="26">
        <v>1</v>
      </c>
    </row>
    <row r="16" spans="1:6" s="20" customFormat="1" ht="12.95" customHeight="1">
      <c r="A16" s="22" t="s">
        <v>4</v>
      </c>
      <c r="C16" s="36">
        <f ca="1">+C8+C12</f>
        <v>7.4478986931779492</v>
      </c>
      <c r="E16" s="35" t="s">
        <v>43</v>
      </c>
      <c r="F16" s="37">
        <f ca="1">NOW()+15018.5+$C$5/24</f>
        <v>60357.818676388888</v>
      </c>
    </row>
    <row r="17" spans="1:17" s="20" customFormat="1" ht="12.95" customHeight="1" thickBot="1">
      <c r="A17" s="35" t="s">
        <v>34</v>
      </c>
      <c r="C17" s="20">
        <f>COUNT(C21:C2190)</f>
        <v>50</v>
      </c>
      <c r="E17" s="35" t="s">
        <v>44</v>
      </c>
      <c r="F17" s="37">
        <f ca="1">ROUND(2*(F16-$C$7)/$C$8,0)/2+F15</f>
        <v>4903.5</v>
      </c>
    </row>
    <row r="18" spans="1:17" s="20" customFormat="1" ht="12.95" customHeight="1">
      <c r="A18" s="22" t="s">
        <v>5</v>
      </c>
      <c r="C18" s="23">
        <f ca="1">+C15</f>
        <v>59683.352069433793</v>
      </c>
      <c r="D18" s="24">
        <f ca="1">+C16</f>
        <v>7.4478986931779492</v>
      </c>
      <c r="E18" s="35" t="s">
        <v>45</v>
      </c>
      <c r="F18" s="30">
        <f ca="1">ROUND(2*(F16-$C$15)/$C$16,0)/2+F15</f>
        <v>91.5</v>
      </c>
    </row>
    <row r="19" spans="1:17" s="20" customFormat="1" ht="12.95" customHeight="1" thickTop="1">
      <c r="E19" s="35" t="s">
        <v>46</v>
      </c>
      <c r="F19" s="38">
        <f ca="1">+$C$15+$C$16*F18-15018.5-$C$5/24</f>
        <v>45346.730633192914</v>
      </c>
    </row>
    <row r="20" spans="1:17" s="20" customFormat="1" ht="12.95" customHeight="1" thickBot="1">
      <c r="A20" s="31" t="s">
        <v>6</v>
      </c>
      <c r="B20" s="31" t="s">
        <v>7</v>
      </c>
      <c r="C20" s="31" t="s">
        <v>8</v>
      </c>
      <c r="D20" s="31" t="s">
        <v>13</v>
      </c>
      <c r="E20" s="31" t="s">
        <v>9</v>
      </c>
      <c r="F20" s="31" t="s">
        <v>10</v>
      </c>
      <c r="G20" s="31" t="s">
        <v>11</v>
      </c>
      <c r="H20" s="39" t="s">
        <v>56</v>
      </c>
      <c r="I20" s="39" t="s">
        <v>59</v>
      </c>
      <c r="J20" s="39" t="s">
        <v>53</v>
      </c>
      <c r="K20" s="39" t="s">
        <v>51</v>
      </c>
      <c r="L20" s="39" t="s">
        <v>240</v>
      </c>
      <c r="M20" s="39" t="s">
        <v>241</v>
      </c>
      <c r="N20" s="39" t="s">
        <v>242</v>
      </c>
      <c r="O20" s="39" t="s">
        <v>23</v>
      </c>
      <c r="P20" s="40" t="s">
        <v>22</v>
      </c>
      <c r="Q20" s="31" t="s">
        <v>15</v>
      </c>
    </row>
    <row r="21" spans="1:17" s="20" customFormat="1" ht="12.95" customHeight="1">
      <c r="A21" s="41" t="s">
        <v>67</v>
      </c>
      <c r="B21" s="42" t="s">
        <v>47</v>
      </c>
      <c r="C21" s="43">
        <v>20224.36</v>
      </c>
      <c r="D21" s="45"/>
      <c r="E21" s="20">
        <f t="shared" ref="E21:E68" si="0">+(C21-C$7)/C$8</f>
        <v>-485.99928624233439</v>
      </c>
      <c r="F21" s="20">
        <f t="shared" ref="F21:F69" si="1">ROUND(2*E21,0)/2</f>
        <v>-486</v>
      </c>
      <c r="G21" s="20">
        <f t="shared" ref="G21:G68" si="2">+C21-(C$7+F21*C$8)</f>
        <v>5.3159999988565687E-3</v>
      </c>
      <c r="H21" s="20">
        <f t="shared" ref="H21:H57" si="3">+G21</f>
        <v>5.3159999988565687E-3</v>
      </c>
      <c r="O21" s="20">
        <f t="shared" ref="O21:O68" ca="1" si="4">+C$11+C$12*$F21</f>
        <v>3.0108977021682165E-2</v>
      </c>
      <c r="Q21" s="44">
        <f t="shared" ref="Q21:Q68" si="5">+C21-15018.5</f>
        <v>5205.8600000000006</v>
      </c>
    </row>
    <row r="22" spans="1:17" s="20" customFormat="1" ht="12.95" customHeight="1">
      <c r="A22" s="41" t="s">
        <v>73</v>
      </c>
      <c r="B22" s="42" t="s">
        <v>47</v>
      </c>
      <c r="C22" s="43">
        <v>20894.59</v>
      </c>
      <c r="D22" s="45"/>
      <c r="E22" s="20">
        <f t="shared" si="0"/>
        <v>-396.01023428598592</v>
      </c>
      <c r="F22" s="20">
        <f t="shared" si="1"/>
        <v>-396</v>
      </c>
      <c r="G22" s="20">
        <f t="shared" si="2"/>
        <v>-7.6224000000365777E-2</v>
      </c>
      <c r="H22" s="20">
        <f t="shared" si="3"/>
        <v>-7.6224000000365777E-2</v>
      </c>
      <c r="O22" s="20">
        <f t="shared" ca="1" si="4"/>
        <v>2.9451363037149753E-2</v>
      </c>
      <c r="Q22" s="44">
        <f t="shared" si="5"/>
        <v>5876.09</v>
      </c>
    </row>
    <row r="23" spans="1:17" s="20" customFormat="1" ht="12.95" customHeight="1">
      <c r="A23" s="41" t="s">
        <v>78</v>
      </c>
      <c r="B23" s="42" t="s">
        <v>47</v>
      </c>
      <c r="C23" s="43">
        <v>21728.797999999999</v>
      </c>
      <c r="D23" s="45"/>
      <c r="E23" s="20">
        <f t="shared" si="0"/>
        <v>-284.00452422466145</v>
      </c>
      <c r="F23" s="20">
        <f t="shared" si="1"/>
        <v>-284</v>
      </c>
      <c r="G23" s="20">
        <f t="shared" si="2"/>
        <v>-3.369600000223727E-2</v>
      </c>
      <c r="H23" s="20">
        <f t="shared" si="3"/>
        <v>-3.369600000223727E-2</v>
      </c>
      <c r="O23" s="20">
        <f t="shared" ca="1" si="4"/>
        <v>2.8632998967509413E-2</v>
      </c>
      <c r="Q23" s="44">
        <f t="shared" si="5"/>
        <v>6710.2979999999989</v>
      </c>
    </row>
    <row r="24" spans="1:17" s="20" customFormat="1" ht="12.95" customHeight="1">
      <c r="A24" s="41" t="s">
        <v>78</v>
      </c>
      <c r="B24" s="42" t="s">
        <v>47</v>
      </c>
      <c r="C24" s="43">
        <v>21967.172999999999</v>
      </c>
      <c r="D24" s="45"/>
      <c r="E24" s="20">
        <f t="shared" si="0"/>
        <v>-251.99888398161866</v>
      </c>
      <c r="F24" s="20">
        <f t="shared" si="1"/>
        <v>-252</v>
      </c>
      <c r="G24" s="20">
        <f t="shared" si="2"/>
        <v>8.3119999981136061E-3</v>
      </c>
      <c r="H24" s="20">
        <f t="shared" si="3"/>
        <v>8.3119999981136061E-3</v>
      </c>
      <c r="O24" s="20">
        <f t="shared" ca="1" si="4"/>
        <v>2.839918066189789E-2</v>
      </c>
      <c r="Q24" s="44">
        <f t="shared" si="5"/>
        <v>6948.6729999999989</v>
      </c>
    </row>
    <row r="25" spans="1:17" s="20" customFormat="1" ht="12.95" customHeight="1">
      <c r="A25" s="41" t="s">
        <v>78</v>
      </c>
      <c r="B25" s="42" t="s">
        <v>47</v>
      </c>
      <c r="C25" s="43">
        <v>22369.350999999999</v>
      </c>
      <c r="D25" s="45"/>
      <c r="E25" s="20">
        <f t="shared" si="0"/>
        <v>-198.00008217074728</v>
      </c>
      <c r="F25" s="20">
        <f t="shared" si="1"/>
        <v>-198</v>
      </c>
      <c r="G25" s="20">
        <f t="shared" si="2"/>
        <v>-6.1199999981909059E-4</v>
      </c>
      <c r="H25" s="20">
        <f t="shared" si="3"/>
        <v>-6.1199999981909059E-4</v>
      </c>
      <c r="O25" s="20">
        <f t="shared" ca="1" si="4"/>
        <v>2.8004612271178439E-2</v>
      </c>
      <c r="Q25" s="44">
        <f t="shared" si="5"/>
        <v>7350.8509999999987</v>
      </c>
    </row>
    <row r="26" spans="1:17" s="20" customFormat="1" ht="12.95" customHeight="1">
      <c r="A26" s="41" t="s">
        <v>78</v>
      </c>
      <c r="B26" s="42" t="s">
        <v>47</v>
      </c>
      <c r="C26" s="43">
        <v>23434.42</v>
      </c>
      <c r="D26" s="45"/>
      <c r="E26" s="20">
        <f t="shared" si="0"/>
        <v>-54.99760603852976</v>
      </c>
      <c r="F26" s="20">
        <f t="shared" si="1"/>
        <v>-55</v>
      </c>
      <c r="G26" s="20">
        <f t="shared" si="2"/>
        <v>1.7829999997047707E-2</v>
      </c>
      <c r="H26" s="20">
        <f t="shared" si="3"/>
        <v>1.7829999997047707E-2</v>
      </c>
      <c r="O26" s="20">
        <f t="shared" ca="1" si="4"/>
        <v>2.6959736717976936E-2</v>
      </c>
      <c r="Q26" s="44">
        <f t="shared" si="5"/>
        <v>8415.9199999999983</v>
      </c>
    </row>
    <row r="27" spans="1:17" s="20" customFormat="1" ht="12.95" customHeight="1">
      <c r="A27" s="41" t="s">
        <v>78</v>
      </c>
      <c r="B27" s="42" t="s">
        <v>47</v>
      </c>
      <c r="C27" s="43">
        <v>23516.323</v>
      </c>
      <c r="D27" s="45"/>
      <c r="E27" s="20">
        <f t="shared" si="0"/>
        <v>-44.000823855725351</v>
      </c>
      <c r="F27" s="20">
        <f t="shared" si="1"/>
        <v>-44</v>
      </c>
      <c r="G27" s="20">
        <f t="shared" si="2"/>
        <v>-6.1359999999694992E-3</v>
      </c>
      <c r="H27" s="20">
        <f t="shared" si="3"/>
        <v>-6.1359999999694992E-3</v>
      </c>
      <c r="O27" s="20">
        <f t="shared" ca="1" si="4"/>
        <v>2.6879361675422975E-2</v>
      </c>
      <c r="Q27" s="44">
        <f t="shared" si="5"/>
        <v>8497.8230000000003</v>
      </c>
    </row>
    <row r="28" spans="1:17" s="20" customFormat="1" ht="12.95" customHeight="1">
      <c r="A28" s="41" t="s">
        <v>78</v>
      </c>
      <c r="B28" s="42" t="s">
        <v>47</v>
      </c>
      <c r="C28" s="43">
        <v>23844.013999999999</v>
      </c>
      <c r="D28" s="45"/>
      <c r="E28" s="20">
        <f t="shared" si="0"/>
        <v>-3.0881163109534059E-3</v>
      </c>
      <c r="F28" s="20">
        <f t="shared" si="1"/>
        <v>0</v>
      </c>
      <c r="G28" s="20">
        <f t="shared" si="2"/>
        <v>-2.3000000001047738E-2</v>
      </c>
      <c r="H28" s="20">
        <f t="shared" si="3"/>
        <v>-2.3000000001047738E-2</v>
      </c>
      <c r="O28" s="20">
        <f t="shared" ca="1" si="4"/>
        <v>2.6557861505207128E-2</v>
      </c>
      <c r="Q28" s="44">
        <f t="shared" si="5"/>
        <v>8825.5139999999992</v>
      </c>
    </row>
    <row r="29" spans="1:17" s="20" customFormat="1" ht="12.95" customHeight="1">
      <c r="A29" s="20" t="s">
        <v>12</v>
      </c>
      <c r="B29" s="32"/>
      <c r="C29" s="45">
        <v>23844.037</v>
      </c>
      <c r="D29" s="45" t="s">
        <v>14</v>
      </c>
      <c r="E29" s="20">
        <f t="shared" si="0"/>
        <v>0</v>
      </c>
      <c r="F29" s="20">
        <f t="shared" si="1"/>
        <v>0</v>
      </c>
      <c r="G29" s="20">
        <f t="shared" si="2"/>
        <v>0</v>
      </c>
      <c r="H29" s="20">
        <f t="shared" si="3"/>
        <v>0</v>
      </c>
      <c r="O29" s="20">
        <f t="shared" ca="1" si="4"/>
        <v>2.6557861505207128E-2</v>
      </c>
      <c r="Q29" s="44">
        <f t="shared" si="5"/>
        <v>8825.5370000000003</v>
      </c>
    </row>
    <row r="30" spans="1:17" s="20" customFormat="1" ht="12.95" customHeight="1">
      <c r="A30" s="41" t="s">
        <v>78</v>
      </c>
      <c r="B30" s="42" t="s">
        <v>47</v>
      </c>
      <c r="C30" s="43">
        <v>24231.325000000001</v>
      </c>
      <c r="D30" s="45"/>
      <c r="E30" s="20">
        <f t="shared" si="0"/>
        <v>51.999582164436617</v>
      </c>
      <c r="F30" s="20">
        <f t="shared" si="1"/>
        <v>52</v>
      </c>
      <c r="G30" s="20">
        <f t="shared" si="2"/>
        <v>-3.1119999985094182E-3</v>
      </c>
      <c r="H30" s="20">
        <f t="shared" si="3"/>
        <v>-3.1119999985094182E-3</v>
      </c>
      <c r="O30" s="20">
        <f t="shared" ca="1" si="4"/>
        <v>2.6177906758588401E-2</v>
      </c>
      <c r="Q30" s="44">
        <f t="shared" si="5"/>
        <v>9212.8250000000007</v>
      </c>
    </row>
    <row r="31" spans="1:17" s="20" customFormat="1" ht="12.95" customHeight="1">
      <c r="A31" s="41" t="s">
        <v>100</v>
      </c>
      <c r="B31" s="42" t="s">
        <v>47</v>
      </c>
      <c r="C31" s="43">
        <v>24253.683000000001</v>
      </c>
      <c r="D31" s="45"/>
      <c r="E31" s="20">
        <f t="shared" si="0"/>
        <v>55.001499750399731</v>
      </c>
      <c r="F31" s="20">
        <f t="shared" si="1"/>
        <v>55</v>
      </c>
      <c r="G31" s="20">
        <f t="shared" si="2"/>
        <v>1.1170000001584413E-2</v>
      </c>
      <c r="H31" s="20">
        <f t="shared" si="3"/>
        <v>1.1170000001584413E-2</v>
      </c>
      <c r="O31" s="20">
        <f t="shared" ca="1" si="4"/>
        <v>2.615598629243732E-2</v>
      </c>
      <c r="Q31" s="44">
        <f t="shared" si="5"/>
        <v>9235.1830000000009</v>
      </c>
    </row>
    <row r="32" spans="1:17" s="20" customFormat="1" ht="12.95" customHeight="1">
      <c r="A32" s="41" t="s">
        <v>78</v>
      </c>
      <c r="B32" s="42" t="s">
        <v>47</v>
      </c>
      <c r="C32" s="43">
        <v>24596.285</v>
      </c>
      <c r="D32" s="45"/>
      <c r="E32" s="20">
        <f t="shared" si="0"/>
        <v>101.00127472070668</v>
      </c>
      <c r="F32" s="20">
        <f t="shared" si="1"/>
        <v>101</v>
      </c>
      <c r="G32" s="20">
        <f t="shared" si="2"/>
        <v>9.4939999980852008E-3</v>
      </c>
      <c r="H32" s="20">
        <f t="shared" si="3"/>
        <v>9.4939999980852008E-3</v>
      </c>
      <c r="O32" s="20">
        <f t="shared" ca="1" si="4"/>
        <v>2.5819872478120752E-2</v>
      </c>
      <c r="Q32" s="44">
        <f t="shared" si="5"/>
        <v>9577.7849999999999</v>
      </c>
    </row>
    <row r="33" spans="1:17" s="20" customFormat="1" ht="12.95" customHeight="1">
      <c r="A33" s="41" t="s">
        <v>78</v>
      </c>
      <c r="B33" s="42" t="s">
        <v>47</v>
      </c>
      <c r="C33" s="43">
        <v>24618.597000000002</v>
      </c>
      <c r="D33" s="45"/>
      <c r="E33" s="20">
        <f t="shared" si="0"/>
        <v>103.99701607404837</v>
      </c>
      <c r="F33" s="20">
        <f t="shared" si="1"/>
        <v>104</v>
      </c>
      <c r="G33" s="20">
        <f t="shared" si="2"/>
        <v>-2.2224000000278465E-2</v>
      </c>
      <c r="H33" s="20">
        <f t="shared" si="3"/>
        <v>-2.2224000000278465E-2</v>
      </c>
      <c r="O33" s="20">
        <f t="shared" ca="1" si="4"/>
        <v>2.5797952011969671E-2</v>
      </c>
      <c r="Q33" s="44">
        <f t="shared" si="5"/>
        <v>9600.0970000000016</v>
      </c>
    </row>
    <row r="34" spans="1:17" s="20" customFormat="1" ht="12.95" customHeight="1">
      <c r="A34" s="41" t="s">
        <v>78</v>
      </c>
      <c r="B34" s="42" t="s">
        <v>47</v>
      </c>
      <c r="C34" s="43">
        <v>24879.286</v>
      </c>
      <c r="D34" s="45"/>
      <c r="E34" s="20">
        <f t="shared" si="0"/>
        <v>138.99866620228556</v>
      </c>
      <c r="F34" s="20">
        <f t="shared" si="1"/>
        <v>139</v>
      </c>
      <c r="G34" s="20">
        <f t="shared" si="2"/>
        <v>-9.9340000015217811E-3</v>
      </c>
      <c r="H34" s="20">
        <f t="shared" si="3"/>
        <v>-9.9340000015217811E-3</v>
      </c>
      <c r="O34" s="20">
        <f t="shared" ca="1" si="4"/>
        <v>2.5542213240207067E-2</v>
      </c>
      <c r="Q34" s="44">
        <f t="shared" si="5"/>
        <v>9860.7860000000001</v>
      </c>
    </row>
    <row r="35" spans="1:17" s="20" customFormat="1" ht="12.95" customHeight="1">
      <c r="A35" s="41" t="s">
        <v>78</v>
      </c>
      <c r="B35" s="42" t="s">
        <v>47</v>
      </c>
      <c r="C35" s="43">
        <v>24961.23</v>
      </c>
      <c r="D35" s="45"/>
      <c r="E35" s="20">
        <f t="shared" si="0"/>
        <v>150.00095328807848</v>
      </c>
      <c r="F35" s="20">
        <f t="shared" si="1"/>
        <v>150</v>
      </c>
      <c r="G35" s="20">
        <f t="shared" si="2"/>
        <v>7.0999999988998752E-3</v>
      </c>
      <c r="H35" s="20">
        <f t="shared" si="3"/>
        <v>7.0999999988998752E-3</v>
      </c>
      <c r="O35" s="20">
        <f t="shared" ca="1" si="4"/>
        <v>2.5461838197653103E-2</v>
      </c>
      <c r="Q35" s="44">
        <f t="shared" si="5"/>
        <v>9942.73</v>
      </c>
    </row>
    <row r="36" spans="1:17" s="20" customFormat="1" ht="12.95" customHeight="1">
      <c r="A36" s="41" t="s">
        <v>116</v>
      </c>
      <c r="B36" s="42" t="s">
        <v>47</v>
      </c>
      <c r="C36" s="43">
        <v>25333.608</v>
      </c>
      <c r="D36" s="45"/>
      <c r="E36" s="20">
        <f t="shared" si="0"/>
        <v>199.99863048754912</v>
      </c>
      <c r="F36" s="20">
        <f t="shared" si="1"/>
        <v>200</v>
      </c>
      <c r="G36" s="20">
        <f t="shared" si="2"/>
        <v>-1.0200000000622822E-2</v>
      </c>
      <c r="H36" s="20">
        <f t="shared" si="3"/>
        <v>-1.0200000000622822E-2</v>
      </c>
      <c r="O36" s="20">
        <f t="shared" ca="1" si="4"/>
        <v>2.5096497095135097E-2</v>
      </c>
      <c r="Q36" s="44">
        <f t="shared" si="5"/>
        <v>10315.108</v>
      </c>
    </row>
    <row r="37" spans="1:17" s="20" customFormat="1" ht="12.95" customHeight="1">
      <c r="A37" s="41" t="s">
        <v>78</v>
      </c>
      <c r="B37" s="42" t="s">
        <v>47</v>
      </c>
      <c r="C37" s="43">
        <v>25378.325000000001</v>
      </c>
      <c r="D37" s="45"/>
      <c r="E37" s="20">
        <f t="shared" si="0"/>
        <v>206.00259992540191</v>
      </c>
      <c r="F37" s="20">
        <f t="shared" si="1"/>
        <v>206</v>
      </c>
      <c r="G37" s="20">
        <f t="shared" si="2"/>
        <v>1.9363999999768566E-2</v>
      </c>
      <c r="H37" s="20">
        <f t="shared" si="3"/>
        <v>1.9363999999768566E-2</v>
      </c>
      <c r="O37" s="20">
        <f t="shared" ca="1" si="4"/>
        <v>2.5052656162832934E-2</v>
      </c>
      <c r="Q37" s="44">
        <f t="shared" si="5"/>
        <v>10359.825000000001</v>
      </c>
    </row>
    <row r="38" spans="1:17" s="20" customFormat="1" ht="12.95" customHeight="1">
      <c r="A38" s="41" t="s">
        <v>78</v>
      </c>
      <c r="B38" s="42" t="s">
        <v>47</v>
      </c>
      <c r="C38" s="43">
        <v>25631.550999999999</v>
      </c>
      <c r="D38" s="45"/>
      <c r="E38" s="20">
        <f t="shared" si="0"/>
        <v>240.0022234437437</v>
      </c>
      <c r="F38" s="20">
        <f t="shared" si="1"/>
        <v>240</v>
      </c>
      <c r="G38" s="20">
        <f t="shared" si="2"/>
        <v>1.6560000000026776E-2</v>
      </c>
      <c r="H38" s="20">
        <f t="shared" si="3"/>
        <v>1.6560000000026776E-2</v>
      </c>
      <c r="O38" s="20">
        <f t="shared" ca="1" si="4"/>
        <v>2.4804224213120687E-2</v>
      </c>
      <c r="Q38" s="44">
        <f t="shared" si="5"/>
        <v>10613.050999999999</v>
      </c>
    </row>
    <row r="39" spans="1:17" s="20" customFormat="1" ht="12.95" customHeight="1">
      <c r="A39" s="41" t="s">
        <v>78</v>
      </c>
      <c r="B39" s="42" t="s">
        <v>47</v>
      </c>
      <c r="C39" s="43">
        <v>25698.562999999998</v>
      </c>
      <c r="D39" s="45"/>
      <c r="E39" s="20">
        <f t="shared" si="0"/>
        <v>248.99965171418626</v>
      </c>
      <c r="F39" s="20">
        <f t="shared" si="1"/>
        <v>249</v>
      </c>
      <c r="G39" s="20">
        <f t="shared" si="2"/>
        <v>-2.5940000014088582E-3</v>
      </c>
      <c r="H39" s="20">
        <f t="shared" si="3"/>
        <v>-2.5940000014088582E-3</v>
      </c>
      <c r="O39" s="20">
        <f t="shared" ca="1" si="4"/>
        <v>2.4738462814667447E-2</v>
      </c>
      <c r="Q39" s="44">
        <f t="shared" si="5"/>
        <v>10680.062999999998</v>
      </c>
    </row>
    <row r="40" spans="1:17" s="20" customFormat="1" ht="12.95" customHeight="1">
      <c r="A40" s="41" t="s">
        <v>129</v>
      </c>
      <c r="B40" s="42" t="s">
        <v>47</v>
      </c>
      <c r="C40" s="43">
        <v>27545.687000000002</v>
      </c>
      <c r="D40" s="45"/>
      <c r="E40" s="20">
        <f t="shared" si="0"/>
        <v>497.00546703999777</v>
      </c>
      <c r="F40" s="20">
        <f t="shared" si="1"/>
        <v>497</v>
      </c>
      <c r="G40" s="20">
        <f t="shared" si="2"/>
        <v>4.0718000000197208E-2</v>
      </c>
      <c r="H40" s="20">
        <f t="shared" si="3"/>
        <v>4.0718000000197208E-2</v>
      </c>
      <c r="O40" s="20">
        <f t="shared" ca="1" si="4"/>
        <v>2.2926370946178127E-2</v>
      </c>
      <c r="Q40" s="44">
        <f t="shared" si="5"/>
        <v>12527.187000000002</v>
      </c>
    </row>
    <row r="41" spans="1:17" s="20" customFormat="1" ht="12.95" customHeight="1">
      <c r="A41" s="41" t="s">
        <v>129</v>
      </c>
      <c r="B41" s="42" t="s">
        <v>47</v>
      </c>
      <c r="C41" s="43">
        <v>27873.353999999999</v>
      </c>
      <c r="D41" s="45"/>
      <c r="E41" s="20">
        <f t="shared" si="0"/>
        <v>540.99998039717457</v>
      </c>
      <c r="F41" s="20">
        <f t="shared" si="1"/>
        <v>541</v>
      </c>
      <c r="G41" s="20">
        <f t="shared" si="2"/>
        <v>-1.4600000213249587E-4</v>
      </c>
      <c r="H41" s="20">
        <f t="shared" si="3"/>
        <v>-1.4600000213249587E-4</v>
      </c>
      <c r="O41" s="20">
        <f t="shared" ca="1" si="4"/>
        <v>2.260487077596228E-2</v>
      </c>
      <c r="Q41" s="44">
        <f t="shared" si="5"/>
        <v>12854.853999999999</v>
      </c>
    </row>
    <row r="42" spans="1:17" s="20" customFormat="1" ht="12.95" customHeight="1">
      <c r="A42" s="41" t="s">
        <v>129</v>
      </c>
      <c r="B42" s="42" t="s">
        <v>47</v>
      </c>
      <c r="C42" s="43">
        <v>27888.249</v>
      </c>
      <c r="D42" s="45"/>
      <c r="E42" s="20">
        <f t="shared" si="0"/>
        <v>542.99987137324229</v>
      </c>
      <c r="F42" s="20">
        <f t="shared" si="1"/>
        <v>543</v>
      </c>
      <c r="G42" s="20">
        <f t="shared" si="2"/>
        <v>-9.5800000053714029E-4</v>
      </c>
      <c r="H42" s="20">
        <f t="shared" si="3"/>
        <v>-9.5800000053714029E-4</v>
      </c>
      <c r="O42" s="20">
        <f t="shared" ca="1" si="4"/>
        <v>2.2590257131861559E-2</v>
      </c>
      <c r="Q42" s="44">
        <f t="shared" si="5"/>
        <v>12869.749</v>
      </c>
    </row>
    <row r="43" spans="1:17" s="20" customFormat="1" ht="12.95" customHeight="1">
      <c r="A43" s="41" t="s">
        <v>129</v>
      </c>
      <c r="B43" s="42" t="s">
        <v>47</v>
      </c>
      <c r="C43" s="43">
        <v>27925.49</v>
      </c>
      <c r="D43" s="45"/>
      <c r="E43" s="20">
        <f t="shared" si="0"/>
        <v>548.00006874415465</v>
      </c>
      <c r="F43" s="20">
        <f t="shared" si="1"/>
        <v>548</v>
      </c>
      <c r="G43" s="20">
        <f t="shared" si="2"/>
        <v>5.1200000234530307E-4</v>
      </c>
      <c r="H43" s="20">
        <f t="shared" si="3"/>
        <v>5.1200000234530307E-4</v>
      </c>
      <c r="O43" s="20">
        <f t="shared" ca="1" si="4"/>
        <v>2.255372302160976E-2</v>
      </c>
      <c r="Q43" s="44">
        <f t="shared" si="5"/>
        <v>12906.990000000002</v>
      </c>
    </row>
    <row r="44" spans="1:17" s="20" customFormat="1" ht="12.95" customHeight="1">
      <c r="A44" s="41" t="s">
        <v>129</v>
      </c>
      <c r="B44" s="42" t="s">
        <v>47</v>
      </c>
      <c r="C44" s="43">
        <v>28253.214</v>
      </c>
      <c r="D44" s="45"/>
      <c r="E44" s="20">
        <f t="shared" si="0"/>
        <v>592.00223525914532</v>
      </c>
      <c r="F44" s="20">
        <f t="shared" si="1"/>
        <v>592</v>
      </c>
      <c r="G44" s="20">
        <f t="shared" si="2"/>
        <v>1.6648000000714092E-2</v>
      </c>
      <c r="H44" s="20">
        <f t="shared" si="3"/>
        <v>1.6648000000714092E-2</v>
      </c>
      <c r="O44" s="20">
        <f t="shared" ca="1" si="4"/>
        <v>2.2232222851393913E-2</v>
      </c>
      <c r="Q44" s="44">
        <f t="shared" si="5"/>
        <v>13234.714</v>
      </c>
    </row>
    <row r="45" spans="1:17" s="20" customFormat="1" ht="12.95" customHeight="1">
      <c r="A45" s="41" t="s">
        <v>129</v>
      </c>
      <c r="B45" s="42" t="s">
        <v>47</v>
      </c>
      <c r="C45" s="43">
        <v>28498.988000000001</v>
      </c>
      <c r="D45" s="45"/>
      <c r="E45" s="20">
        <f t="shared" si="0"/>
        <v>625.00130909278403</v>
      </c>
      <c r="F45" s="20">
        <f t="shared" si="1"/>
        <v>625</v>
      </c>
      <c r="G45" s="20">
        <f t="shared" si="2"/>
        <v>9.7500000010768417E-3</v>
      </c>
      <c r="H45" s="20">
        <f t="shared" si="3"/>
        <v>9.7500000010768417E-3</v>
      </c>
      <c r="O45" s="20">
        <f t="shared" ca="1" si="4"/>
        <v>2.1991097723732027E-2</v>
      </c>
      <c r="Q45" s="44">
        <f t="shared" si="5"/>
        <v>13480.488000000001</v>
      </c>
    </row>
    <row r="46" spans="1:17" s="20" customFormat="1" ht="12.95" customHeight="1">
      <c r="A46" s="41" t="s">
        <v>129</v>
      </c>
      <c r="B46" s="42" t="s">
        <v>47</v>
      </c>
      <c r="C46" s="43">
        <v>28521.351999999999</v>
      </c>
      <c r="D46" s="45"/>
      <c r="E46" s="20">
        <f t="shared" si="0"/>
        <v>628.00403227430627</v>
      </c>
      <c r="F46" s="20">
        <f t="shared" si="1"/>
        <v>628</v>
      </c>
      <c r="G46" s="20">
        <f t="shared" si="2"/>
        <v>3.0031999998755055E-2</v>
      </c>
      <c r="H46" s="20">
        <f t="shared" si="3"/>
        <v>3.0031999998755055E-2</v>
      </c>
      <c r="O46" s="20">
        <f t="shared" ca="1" si="4"/>
        <v>2.1969177257580946E-2</v>
      </c>
      <c r="Q46" s="44">
        <f t="shared" si="5"/>
        <v>13502.851999999999</v>
      </c>
    </row>
    <row r="47" spans="1:17" s="20" customFormat="1" ht="12.95" customHeight="1">
      <c r="A47" s="41" t="s">
        <v>129</v>
      </c>
      <c r="B47" s="42" t="s">
        <v>47</v>
      </c>
      <c r="C47" s="43">
        <v>28543.632000000001</v>
      </c>
      <c r="D47" s="45"/>
      <c r="E47" s="20">
        <f t="shared" si="0"/>
        <v>630.99547711799823</v>
      </c>
      <c r="F47" s="20">
        <f t="shared" si="1"/>
        <v>631</v>
      </c>
      <c r="G47" s="20">
        <f t="shared" si="2"/>
        <v>-3.3685999998851912E-2</v>
      </c>
      <c r="H47" s="20">
        <f t="shared" si="3"/>
        <v>-3.3685999998851912E-2</v>
      </c>
      <c r="O47" s="20">
        <f t="shared" ca="1" si="4"/>
        <v>2.1947256791429864E-2</v>
      </c>
      <c r="Q47" s="44">
        <f t="shared" si="5"/>
        <v>13525.132000000001</v>
      </c>
    </row>
    <row r="48" spans="1:17" s="20" customFormat="1" ht="12.95" customHeight="1">
      <c r="A48" s="41" t="s">
        <v>129</v>
      </c>
      <c r="B48" s="42" t="s">
        <v>47</v>
      </c>
      <c r="C48" s="43">
        <v>28566.1</v>
      </c>
      <c r="D48" s="45"/>
      <c r="E48" s="20">
        <f t="shared" si="0"/>
        <v>634.01216395588222</v>
      </c>
      <c r="F48" s="20">
        <f t="shared" si="1"/>
        <v>634</v>
      </c>
      <c r="G48" s="20">
        <f t="shared" si="2"/>
        <v>9.0595999998186016E-2</v>
      </c>
      <c r="H48" s="20">
        <f t="shared" si="3"/>
        <v>9.0595999998186016E-2</v>
      </c>
      <c r="O48" s="20">
        <f t="shared" ca="1" si="4"/>
        <v>2.1925336325278787E-2</v>
      </c>
      <c r="Q48" s="44">
        <f t="shared" si="5"/>
        <v>13547.599999999999</v>
      </c>
    </row>
    <row r="49" spans="1:32" s="20" customFormat="1" ht="12.95" customHeight="1">
      <c r="A49" s="41" t="s">
        <v>129</v>
      </c>
      <c r="B49" s="42" t="s">
        <v>47</v>
      </c>
      <c r="C49" s="43">
        <v>28573.474999999999</v>
      </c>
      <c r="D49" s="45"/>
      <c r="E49" s="20">
        <f t="shared" si="0"/>
        <v>635.00237516424056</v>
      </c>
      <c r="F49" s="20">
        <f t="shared" si="1"/>
        <v>635</v>
      </c>
      <c r="G49" s="20">
        <f t="shared" si="2"/>
        <v>1.7690000000584405E-2</v>
      </c>
      <c r="H49" s="20">
        <f t="shared" si="3"/>
        <v>1.7690000000584405E-2</v>
      </c>
      <c r="O49" s="20">
        <f t="shared" ca="1" si="4"/>
        <v>2.1918029503228426E-2</v>
      </c>
      <c r="Q49" s="44">
        <f t="shared" si="5"/>
        <v>13554.974999999999</v>
      </c>
    </row>
    <row r="50" spans="1:32" s="20" customFormat="1" ht="12.95" customHeight="1">
      <c r="A50" s="41" t="s">
        <v>157</v>
      </c>
      <c r="B50" s="42" t="s">
        <v>47</v>
      </c>
      <c r="C50" s="43">
        <v>30979.167000000001</v>
      </c>
      <c r="D50" s="45"/>
      <c r="E50" s="20">
        <f t="shared" si="0"/>
        <v>958.00484055518439</v>
      </c>
      <c r="F50" s="20">
        <f t="shared" si="1"/>
        <v>958</v>
      </c>
      <c r="G50" s="20">
        <f t="shared" si="2"/>
        <v>3.6052000003110152E-2</v>
      </c>
      <c r="H50" s="20">
        <f t="shared" si="3"/>
        <v>3.6052000003110152E-2</v>
      </c>
      <c r="O50" s="20">
        <f t="shared" ca="1" si="4"/>
        <v>1.9557925980962093E-2</v>
      </c>
      <c r="Q50" s="44">
        <f t="shared" si="5"/>
        <v>15960.667000000001</v>
      </c>
    </row>
    <row r="51" spans="1:32" s="20" customFormat="1" ht="12.95" customHeight="1">
      <c r="A51" s="41" t="s">
        <v>162</v>
      </c>
      <c r="B51" s="42" t="s">
        <v>47</v>
      </c>
      <c r="C51" s="43">
        <v>32617.659</v>
      </c>
      <c r="D51" s="45"/>
      <c r="E51" s="20">
        <f t="shared" si="0"/>
        <v>1177.9984870915396</v>
      </c>
      <c r="F51" s="20">
        <f t="shared" si="1"/>
        <v>1178</v>
      </c>
      <c r="G51" s="20">
        <f t="shared" si="2"/>
        <v>-1.1268000002019107E-2</v>
      </c>
      <c r="H51" s="20">
        <f t="shared" si="3"/>
        <v>-1.1268000002019107E-2</v>
      </c>
      <c r="O51" s="20">
        <f t="shared" ca="1" si="4"/>
        <v>1.7950425129882857E-2</v>
      </c>
      <c r="Q51" s="44">
        <f t="shared" si="5"/>
        <v>17599.159</v>
      </c>
    </row>
    <row r="52" spans="1:32" s="20" customFormat="1" ht="12.95" customHeight="1">
      <c r="A52" s="41" t="s">
        <v>166</v>
      </c>
      <c r="B52" s="42" t="s">
        <v>47</v>
      </c>
      <c r="C52" s="43">
        <v>34457.309000000001</v>
      </c>
      <c r="D52" s="45"/>
      <c r="E52" s="20">
        <f t="shared" si="0"/>
        <v>1425.0007988822631</v>
      </c>
      <c r="F52" s="20">
        <f t="shared" si="1"/>
        <v>1425</v>
      </c>
      <c r="G52" s="20">
        <f t="shared" si="2"/>
        <v>5.9499999988474883E-3</v>
      </c>
      <c r="H52" s="20">
        <f t="shared" si="3"/>
        <v>5.9499999988474883E-3</v>
      </c>
      <c r="O52" s="20">
        <f t="shared" ca="1" si="4"/>
        <v>1.6145640083443897E-2</v>
      </c>
      <c r="Q52" s="44">
        <f t="shared" si="5"/>
        <v>19438.809000000001</v>
      </c>
    </row>
    <row r="53" spans="1:32" s="20" customFormat="1" ht="12.95" customHeight="1">
      <c r="A53" s="41" t="s">
        <v>170</v>
      </c>
      <c r="B53" s="42" t="s">
        <v>47</v>
      </c>
      <c r="C53" s="43">
        <v>35924.553999999996</v>
      </c>
      <c r="D53" s="45"/>
      <c r="E53" s="20">
        <f t="shared" si="0"/>
        <v>1622.0018082934985</v>
      </c>
      <c r="F53" s="20">
        <f t="shared" si="1"/>
        <v>1622</v>
      </c>
      <c r="G53" s="20">
        <f t="shared" si="2"/>
        <v>1.3467999997374136E-2</v>
      </c>
      <c r="H53" s="20">
        <f t="shared" si="3"/>
        <v>1.3467999997374136E-2</v>
      </c>
      <c r="O53" s="20">
        <f t="shared" ca="1" si="4"/>
        <v>1.4706196139522945E-2</v>
      </c>
      <c r="Q53" s="44">
        <f t="shared" si="5"/>
        <v>20906.053999999996</v>
      </c>
    </row>
    <row r="54" spans="1:32" s="20" customFormat="1" ht="12.95" customHeight="1">
      <c r="A54" s="41" t="s">
        <v>175</v>
      </c>
      <c r="B54" s="42" t="s">
        <v>47</v>
      </c>
      <c r="C54" s="43">
        <v>36289.455999999998</v>
      </c>
      <c r="D54" s="45"/>
      <c r="E54" s="20">
        <f t="shared" si="0"/>
        <v>1670.9957134260285</v>
      </c>
      <c r="F54" s="20">
        <f t="shared" si="1"/>
        <v>1671</v>
      </c>
      <c r="G54" s="20">
        <f t="shared" si="2"/>
        <v>-3.1926000003295485E-2</v>
      </c>
      <c r="H54" s="20">
        <f t="shared" si="3"/>
        <v>-3.1926000003295485E-2</v>
      </c>
      <c r="O54" s="20">
        <f t="shared" ca="1" si="4"/>
        <v>1.4348161859055297E-2</v>
      </c>
      <c r="Q54" s="44">
        <f t="shared" si="5"/>
        <v>21270.955999999998</v>
      </c>
    </row>
    <row r="55" spans="1:32" s="20" customFormat="1" ht="12.95" customHeight="1">
      <c r="A55" s="41" t="s">
        <v>175</v>
      </c>
      <c r="B55" s="42" t="s">
        <v>47</v>
      </c>
      <c r="C55" s="43">
        <v>36684.392</v>
      </c>
      <c r="D55" s="45"/>
      <c r="E55" s="20">
        <f t="shared" si="0"/>
        <v>1724.0221613967738</v>
      </c>
      <c r="F55" s="20">
        <f t="shared" si="1"/>
        <v>1724</v>
      </c>
      <c r="G55" s="20">
        <f t="shared" si="2"/>
        <v>0.16505599999800324</v>
      </c>
      <c r="H55" s="20">
        <f t="shared" si="3"/>
        <v>0.16505599999800324</v>
      </c>
      <c r="O55" s="20">
        <f t="shared" ca="1" si="4"/>
        <v>1.3960900290386208E-2</v>
      </c>
      <c r="Q55" s="44">
        <f t="shared" si="5"/>
        <v>21665.892</v>
      </c>
    </row>
    <row r="56" spans="1:32" s="20" customFormat="1" ht="12.95" customHeight="1">
      <c r="A56" s="41" t="s">
        <v>175</v>
      </c>
      <c r="B56" s="42" t="s">
        <v>47</v>
      </c>
      <c r="C56" s="43">
        <v>37399.400999999998</v>
      </c>
      <c r="D56" s="45"/>
      <c r="E56" s="20">
        <f t="shared" si="0"/>
        <v>1820.0235072784214</v>
      </c>
      <c r="F56" s="20">
        <f t="shared" si="1"/>
        <v>1820</v>
      </c>
      <c r="G56" s="20">
        <f t="shared" si="2"/>
        <v>0.17508000000088941</v>
      </c>
      <c r="H56" s="20">
        <f t="shared" si="3"/>
        <v>0.17508000000088941</v>
      </c>
      <c r="O56" s="20">
        <f t="shared" ca="1" si="4"/>
        <v>1.3259445373551634E-2</v>
      </c>
      <c r="Q56" s="44">
        <f t="shared" si="5"/>
        <v>22380.900999999998</v>
      </c>
    </row>
    <row r="57" spans="1:32" s="20" customFormat="1" ht="12.95" customHeight="1">
      <c r="A57" s="41" t="s">
        <v>186</v>
      </c>
      <c r="B57" s="42" t="s">
        <v>47</v>
      </c>
      <c r="C57" s="43">
        <v>45033.321000000004</v>
      </c>
      <c r="D57" s="45"/>
      <c r="E57" s="20">
        <f t="shared" si="0"/>
        <v>2844.9988493410101</v>
      </c>
      <c r="F57" s="20">
        <f t="shared" si="1"/>
        <v>2845</v>
      </c>
      <c r="G57" s="20">
        <f t="shared" si="2"/>
        <v>-8.5699999981443398E-3</v>
      </c>
      <c r="H57" s="20">
        <f t="shared" si="3"/>
        <v>-8.5699999981443398E-3</v>
      </c>
      <c r="O57" s="20">
        <f t="shared" ca="1" si="4"/>
        <v>5.7699527719324677E-3</v>
      </c>
      <c r="Q57" s="44">
        <f t="shared" si="5"/>
        <v>30014.821000000004</v>
      </c>
    </row>
    <row r="58" spans="1:32" s="20" customFormat="1" ht="12.95" customHeight="1">
      <c r="A58" s="20" t="s">
        <v>27</v>
      </c>
      <c r="B58" s="32"/>
      <c r="C58" s="46">
        <v>46113.277000000002</v>
      </c>
      <c r="D58" s="45"/>
      <c r="E58" s="20">
        <f t="shared" si="0"/>
        <v>2990.0001423218823</v>
      </c>
      <c r="F58" s="20">
        <f t="shared" si="1"/>
        <v>2990</v>
      </c>
      <c r="G58" s="20">
        <f t="shared" si="2"/>
        <v>1.0600000023259781E-3</v>
      </c>
      <c r="I58" s="20">
        <f>+G58</f>
        <v>1.0600000023259781E-3</v>
      </c>
      <c r="O58" s="20">
        <f t="shared" ca="1" si="4"/>
        <v>4.7104635746302442E-3</v>
      </c>
      <c r="Q58" s="44">
        <f t="shared" si="5"/>
        <v>31094.777000000002</v>
      </c>
      <c r="AA58" s="20" t="s">
        <v>26</v>
      </c>
      <c r="AF58" s="20" t="s">
        <v>28</v>
      </c>
    </row>
    <row r="59" spans="1:32" s="20" customFormat="1" ht="12.95" customHeight="1">
      <c r="A59" s="20" t="s">
        <v>30</v>
      </c>
      <c r="B59" s="32"/>
      <c r="C59" s="46">
        <v>47230.483999999997</v>
      </c>
      <c r="D59" s="45"/>
      <c r="E59" s="20">
        <f t="shared" si="0"/>
        <v>3140.0029753329322</v>
      </c>
      <c r="F59" s="20">
        <f t="shared" si="1"/>
        <v>3140</v>
      </c>
      <c r="G59" s="20">
        <f t="shared" si="2"/>
        <v>2.2159999993164092E-2</v>
      </c>
      <c r="I59" s="20">
        <f>+G59</f>
        <v>2.2159999993164092E-2</v>
      </c>
      <c r="O59" s="20">
        <f t="shared" ca="1" si="4"/>
        <v>3.6144402670762188E-3</v>
      </c>
      <c r="Q59" s="44">
        <f t="shared" si="5"/>
        <v>32211.983999999997</v>
      </c>
      <c r="AA59" s="20" t="s">
        <v>26</v>
      </c>
      <c r="AB59" s="20">
        <v>9</v>
      </c>
      <c r="AD59" s="20" t="s">
        <v>29</v>
      </c>
      <c r="AF59" s="20" t="s">
        <v>31</v>
      </c>
    </row>
    <row r="60" spans="1:32" s="20" customFormat="1" ht="12.95" customHeight="1">
      <c r="A60" s="20" t="s">
        <v>32</v>
      </c>
      <c r="B60" s="32"/>
      <c r="C60" s="46">
        <v>47945.446000000004</v>
      </c>
      <c r="D60" s="45"/>
      <c r="E60" s="20">
        <f t="shared" si="0"/>
        <v>3235.9980107160327</v>
      </c>
      <c r="F60" s="20">
        <f t="shared" si="1"/>
        <v>3236</v>
      </c>
      <c r="G60" s="20">
        <f t="shared" si="2"/>
        <v>-1.4815999995335005E-2</v>
      </c>
      <c r="I60" s="20">
        <f>+G60</f>
        <v>-1.4815999995335005E-2</v>
      </c>
      <c r="O60" s="20">
        <f t="shared" ca="1" si="4"/>
        <v>2.9129853502416446E-3</v>
      </c>
      <c r="Q60" s="44">
        <f t="shared" si="5"/>
        <v>32926.946000000004</v>
      </c>
      <c r="AA60" s="20" t="s">
        <v>26</v>
      </c>
      <c r="AB60" s="20">
        <v>6</v>
      </c>
      <c r="AD60" s="20" t="s">
        <v>29</v>
      </c>
      <c r="AF60" s="20" t="s">
        <v>31</v>
      </c>
    </row>
    <row r="61" spans="1:32" s="20" customFormat="1" ht="12.95" customHeight="1">
      <c r="A61" s="20" t="s">
        <v>33</v>
      </c>
      <c r="B61" s="32"/>
      <c r="C61" s="46">
        <v>48310.41</v>
      </c>
      <c r="D61" s="45">
        <v>8.0000000000000002E-3</v>
      </c>
      <c r="E61" s="20">
        <f t="shared" si="0"/>
        <v>3285.000240336009</v>
      </c>
      <c r="F61" s="20">
        <f t="shared" si="1"/>
        <v>3285</v>
      </c>
      <c r="G61" s="20">
        <f t="shared" si="2"/>
        <v>1.7900000093504786E-3</v>
      </c>
      <c r="I61" s="20">
        <f>+G61</f>
        <v>1.7900000093504786E-3</v>
      </c>
      <c r="O61" s="20">
        <f t="shared" ca="1" si="4"/>
        <v>2.5549510697739954E-3</v>
      </c>
      <c r="Q61" s="44">
        <f t="shared" si="5"/>
        <v>33291.910000000003</v>
      </c>
      <c r="AA61" s="20" t="s">
        <v>26</v>
      </c>
      <c r="AB61" s="20">
        <v>6</v>
      </c>
      <c r="AD61" s="20" t="s">
        <v>29</v>
      </c>
      <c r="AF61" s="20" t="s">
        <v>31</v>
      </c>
    </row>
    <row r="62" spans="1:32" s="20" customFormat="1" ht="12.95" customHeight="1">
      <c r="A62" s="20" t="s">
        <v>36</v>
      </c>
      <c r="B62" s="60"/>
      <c r="C62" s="45">
        <v>53814.402000000002</v>
      </c>
      <c r="D62" s="45">
        <v>5.0000000000000001E-3</v>
      </c>
      <c r="E62" s="20">
        <f t="shared" si="0"/>
        <v>4023.9988259787388</v>
      </c>
      <c r="F62" s="20">
        <f t="shared" si="1"/>
        <v>4024</v>
      </c>
      <c r="G62" s="20">
        <f t="shared" si="2"/>
        <v>-8.7439999988419004E-3</v>
      </c>
      <c r="J62" s="20">
        <f>+G62</f>
        <v>-8.7439999988419004E-3</v>
      </c>
      <c r="O62" s="20">
        <f t="shared" ca="1" si="4"/>
        <v>-2.844790425442164E-3</v>
      </c>
      <c r="Q62" s="44">
        <f t="shared" si="5"/>
        <v>38795.902000000002</v>
      </c>
    </row>
    <row r="63" spans="1:32" s="20" customFormat="1" ht="12.95" customHeight="1">
      <c r="A63" s="20" t="s">
        <v>36</v>
      </c>
      <c r="B63" s="60"/>
      <c r="C63" s="45">
        <v>53814.414100000002</v>
      </c>
      <c r="D63" s="45">
        <v>4.1999999999999997E-3</v>
      </c>
      <c r="E63" s="20">
        <f t="shared" si="0"/>
        <v>4024.0004505964498</v>
      </c>
      <c r="F63" s="20">
        <f t="shared" si="1"/>
        <v>4024</v>
      </c>
      <c r="G63" s="20">
        <f t="shared" si="2"/>
        <v>3.3560000010766089E-3</v>
      </c>
      <c r="J63" s="20">
        <f>+G63</f>
        <v>3.3560000010766089E-3</v>
      </c>
      <c r="O63" s="20">
        <f t="shared" ca="1" si="4"/>
        <v>-2.844790425442164E-3</v>
      </c>
      <c r="Q63" s="44">
        <f t="shared" si="5"/>
        <v>38795.914100000002</v>
      </c>
    </row>
    <row r="64" spans="1:32" s="20" customFormat="1" ht="12.95" customHeight="1">
      <c r="A64" s="41" t="s">
        <v>221</v>
      </c>
      <c r="B64" s="42" t="s">
        <v>47</v>
      </c>
      <c r="C64" s="43">
        <v>54827.321199999998</v>
      </c>
      <c r="D64" s="45"/>
      <c r="E64" s="20">
        <f t="shared" si="0"/>
        <v>4159.9993608941895</v>
      </c>
      <c r="F64" s="20">
        <f t="shared" si="1"/>
        <v>4160</v>
      </c>
      <c r="G64" s="20">
        <f t="shared" si="2"/>
        <v>-4.7600000034435652E-3</v>
      </c>
      <c r="K64" s="20">
        <f>+G64</f>
        <v>-4.7600000034435652E-3</v>
      </c>
      <c r="O64" s="20">
        <f t="shared" ca="1" si="4"/>
        <v>-3.8385182242911473E-3</v>
      </c>
      <c r="Q64" s="44">
        <f t="shared" si="5"/>
        <v>39808.821199999998</v>
      </c>
    </row>
    <row r="65" spans="1:17" s="20" customFormat="1" ht="12.95" customHeight="1">
      <c r="A65" s="41" t="s">
        <v>228</v>
      </c>
      <c r="B65" s="42" t="s">
        <v>47</v>
      </c>
      <c r="C65" s="43">
        <v>56354.142599999999</v>
      </c>
      <c r="D65" s="45"/>
      <c r="E65" s="20">
        <f t="shared" si="0"/>
        <v>4364.9994508523605</v>
      </c>
      <c r="F65" s="20">
        <f t="shared" si="1"/>
        <v>4365</v>
      </c>
      <c r="G65" s="20">
        <f t="shared" si="2"/>
        <v>-4.0899999949033372E-3</v>
      </c>
      <c r="K65" s="20">
        <f>+G65</f>
        <v>-4.0899999949033372E-3</v>
      </c>
      <c r="O65" s="20">
        <f t="shared" ca="1" si="4"/>
        <v>-5.3364167446149774E-3</v>
      </c>
      <c r="Q65" s="44">
        <f t="shared" si="5"/>
        <v>41335.642599999999</v>
      </c>
    </row>
    <row r="66" spans="1:17" s="20" customFormat="1" ht="12.95" customHeight="1">
      <c r="A66" s="47" t="s">
        <v>38</v>
      </c>
      <c r="B66" s="48" t="s">
        <v>47</v>
      </c>
      <c r="C66" s="47">
        <v>56726.536999999997</v>
      </c>
      <c r="D66" s="47">
        <v>8.0999999999999996E-3</v>
      </c>
      <c r="E66" s="20">
        <f t="shared" si="0"/>
        <v>4414.9993300130263</v>
      </c>
      <c r="F66" s="20">
        <f t="shared" si="1"/>
        <v>4415</v>
      </c>
      <c r="G66" s="20">
        <f t="shared" si="2"/>
        <v>-4.9900000012712553E-3</v>
      </c>
      <c r="J66" s="20">
        <f>+G66</f>
        <v>-4.9900000012712553E-3</v>
      </c>
      <c r="O66" s="20">
        <f t="shared" ca="1" si="4"/>
        <v>-5.7017578471329905E-3</v>
      </c>
      <c r="Q66" s="44">
        <f t="shared" si="5"/>
        <v>41708.036999999997</v>
      </c>
    </row>
    <row r="67" spans="1:17" s="20" customFormat="1" ht="12.95" customHeight="1">
      <c r="A67" s="49" t="s">
        <v>48</v>
      </c>
      <c r="B67" s="50"/>
      <c r="C67" s="49">
        <v>57091.476499999997</v>
      </c>
      <c r="D67" s="49">
        <v>1.49E-2</v>
      </c>
      <c r="E67" s="20">
        <f t="shared" si="0"/>
        <v>4463.9982701178014</v>
      </c>
      <c r="F67" s="20">
        <f t="shared" si="1"/>
        <v>4464</v>
      </c>
      <c r="G67" s="20">
        <f t="shared" si="2"/>
        <v>-1.2884000003396068E-2</v>
      </c>
      <c r="J67" s="20">
        <f>+G67</f>
        <v>-1.2884000003396068E-2</v>
      </c>
      <c r="O67" s="20">
        <f t="shared" ca="1" si="4"/>
        <v>-6.0597921276006328E-3</v>
      </c>
      <c r="Q67" s="44">
        <f t="shared" si="5"/>
        <v>42072.976499999997</v>
      </c>
    </row>
    <row r="68" spans="1:17" s="20" customFormat="1" ht="12.95" customHeight="1">
      <c r="A68" s="51" t="s">
        <v>239</v>
      </c>
      <c r="B68" s="52" t="s">
        <v>47</v>
      </c>
      <c r="C68" s="53">
        <v>57799.034500000002</v>
      </c>
      <c r="D68" s="54" t="s">
        <v>226</v>
      </c>
      <c r="E68" s="20">
        <f t="shared" si="0"/>
        <v>4558.9992005806735</v>
      </c>
      <c r="F68" s="20">
        <f t="shared" si="1"/>
        <v>4559</v>
      </c>
      <c r="G68" s="20">
        <f t="shared" si="2"/>
        <v>-5.9540000002016313E-3</v>
      </c>
      <c r="K68" s="20">
        <f>+G68</f>
        <v>-5.9540000002016313E-3</v>
      </c>
      <c r="O68" s="20">
        <f t="shared" ca="1" si="4"/>
        <v>-6.7539402223848535E-3</v>
      </c>
      <c r="Q68" s="44">
        <f t="shared" si="5"/>
        <v>42780.534500000002</v>
      </c>
    </row>
    <row r="69" spans="1:17" s="20" customFormat="1" ht="12.95" customHeight="1">
      <c r="A69" s="55" t="s">
        <v>243</v>
      </c>
      <c r="B69" s="56" t="s">
        <v>47</v>
      </c>
      <c r="C69" s="57">
        <v>58960.9038</v>
      </c>
      <c r="D69" s="57">
        <v>1.1999999999999999E-3</v>
      </c>
      <c r="E69" s="20">
        <f>+(C69-C$7)/C$8</f>
        <v>4714.9986586833948</v>
      </c>
      <c r="F69" s="20">
        <f t="shared" si="1"/>
        <v>4715</v>
      </c>
      <c r="G69" s="20">
        <f>+C69-(C$7+F69*C$8)</f>
        <v>-9.9900000059278682E-3</v>
      </c>
      <c r="K69" s="20">
        <f>+G69</f>
        <v>-9.9900000059278682E-3</v>
      </c>
      <c r="O69" s="20">
        <f ca="1">+C$11+C$12*$F69</f>
        <v>-7.8938044622410344E-3</v>
      </c>
      <c r="Q69" s="44">
        <f>+C69-15018.5</f>
        <v>43942.4038</v>
      </c>
    </row>
    <row r="70" spans="1:17" s="20" customFormat="1" ht="12.95" customHeight="1">
      <c r="A70" s="18" t="s">
        <v>244</v>
      </c>
      <c r="B70" s="19" t="s">
        <v>47</v>
      </c>
      <c r="C70" s="58">
        <v>59683.358800000002</v>
      </c>
      <c r="D70" s="59">
        <v>2.0000000000000001E-4</v>
      </c>
      <c r="E70" s="20">
        <f t="shared" ref="E70" si="6">+(C70-C$7)/C$8</f>
        <v>4811.9997486541861</v>
      </c>
      <c r="F70" s="20">
        <f t="shared" ref="F70" si="7">ROUND(2*E70,0)/2</f>
        <v>4812</v>
      </c>
      <c r="G70" s="20">
        <f t="shared" ref="G70" si="8">+C70-(C$7+F70*C$8)</f>
        <v>-1.8719999934546649E-3</v>
      </c>
      <c r="K70" s="20">
        <f t="shared" ref="K70" si="9">+G70</f>
        <v>-1.8719999934546649E-3</v>
      </c>
      <c r="O70" s="20">
        <f t="shared" ref="O70" ca="1" si="10">+C$11+C$12*$F70</f>
        <v>-8.602566201125969E-3</v>
      </c>
      <c r="Q70" s="44">
        <f t="shared" ref="Q70" si="11">+C70-15018.5</f>
        <v>44664.858800000002</v>
      </c>
    </row>
    <row r="71" spans="1:17" s="20" customFormat="1" ht="12.95" customHeight="1">
      <c r="B71" s="32"/>
      <c r="C71" s="45"/>
      <c r="D71" s="45"/>
    </row>
    <row r="72" spans="1:17" s="20" customFormat="1" ht="12.95" customHeight="1">
      <c r="B72" s="32"/>
      <c r="C72" s="45"/>
      <c r="D72" s="45"/>
    </row>
    <row r="73" spans="1:17" s="20" customFormat="1" ht="12.95" customHeight="1">
      <c r="B73" s="32"/>
      <c r="C73" s="45"/>
      <c r="D73" s="45"/>
    </row>
    <row r="74" spans="1:17" s="20" customFormat="1" ht="12.95" customHeight="1">
      <c r="B74" s="32"/>
      <c r="C74" s="45"/>
      <c r="D74" s="45"/>
    </row>
    <row r="75" spans="1:17" s="20" customFormat="1" ht="12.95" customHeight="1">
      <c r="B75" s="32"/>
      <c r="C75" s="45"/>
      <c r="D75" s="45"/>
    </row>
    <row r="76" spans="1:17" s="20" customFormat="1" ht="12.95" customHeight="1">
      <c r="B76" s="32"/>
      <c r="C76" s="45"/>
      <c r="D76" s="45"/>
    </row>
    <row r="77" spans="1:17" s="20" customFormat="1" ht="12.95" customHeight="1">
      <c r="B77" s="32"/>
      <c r="C77" s="45"/>
      <c r="D77" s="45"/>
    </row>
    <row r="78" spans="1:17" s="20" customFormat="1" ht="12.95" customHeight="1">
      <c r="B78" s="32"/>
      <c r="C78" s="45"/>
      <c r="D78" s="45"/>
    </row>
    <row r="79" spans="1:17" s="20" customFormat="1" ht="12.95" customHeight="1">
      <c r="B79" s="32"/>
      <c r="C79" s="45"/>
    </row>
    <row r="80" spans="1:17" s="20" customFormat="1" ht="12.95" customHeight="1">
      <c r="B80" s="32"/>
      <c r="C80" s="45"/>
    </row>
    <row r="81" spans="3:3" s="20" customFormat="1" ht="12.95" customHeight="1">
      <c r="C81" s="45"/>
    </row>
    <row r="82" spans="3:3" s="20" customFormat="1" ht="12.95" customHeight="1">
      <c r="C82" s="45"/>
    </row>
    <row r="83" spans="3:3" s="20" customFormat="1" ht="12.95" customHeight="1">
      <c r="C83" s="45"/>
    </row>
    <row r="84" spans="3:3" s="20" customFormat="1" ht="12.95" customHeight="1">
      <c r="C84" s="45"/>
    </row>
    <row r="85" spans="3:3" s="20" customFormat="1" ht="12.95" customHeight="1">
      <c r="C85" s="45"/>
    </row>
    <row r="86" spans="3:3" s="20" customFormat="1" ht="12.95" customHeight="1">
      <c r="C86" s="45"/>
    </row>
    <row r="87" spans="3:3" s="20" customFormat="1" ht="12.95" customHeight="1">
      <c r="C87" s="45"/>
    </row>
    <row r="88" spans="3:3" s="20" customFormat="1" ht="12.95" customHeight="1">
      <c r="C88" s="45"/>
    </row>
    <row r="89" spans="3:3" s="20" customFormat="1" ht="12.95" customHeight="1">
      <c r="C89" s="45"/>
    </row>
    <row r="90" spans="3:3" s="20" customFormat="1" ht="12.95" customHeight="1">
      <c r="C90" s="45"/>
    </row>
    <row r="91" spans="3:3" s="20" customFormat="1" ht="12.95" customHeight="1">
      <c r="C91" s="45"/>
    </row>
    <row r="92" spans="3:3" s="20" customFormat="1" ht="12.95" customHeight="1">
      <c r="C92" s="45"/>
    </row>
    <row r="93" spans="3:3" s="20" customFormat="1" ht="12.95" customHeight="1">
      <c r="C93" s="45"/>
    </row>
    <row r="94" spans="3:3" s="20" customFormat="1" ht="12.95" customHeight="1">
      <c r="C94" s="45"/>
    </row>
    <row r="95" spans="3:3" s="20" customFormat="1" ht="12.95" customHeight="1">
      <c r="C95" s="45"/>
    </row>
    <row r="96" spans="3:3" s="20" customFormat="1" ht="12.95" customHeight="1">
      <c r="C96" s="45"/>
    </row>
    <row r="97" spans="3:3" s="20" customFormat="1" ht="12.95" customHeight="1">
      <c r="C97" s="45"/>
    </row>
    <row r="98" spans="3:3" s="20" customFormat="1" ht="12.95" customHeight="1">
      <c r="C98" s="45"/>
    </row>
    <row r="99" spans="3:3" s="20" customFormat="1" ht="12.95" customHeight="1">
      <c r="C99" s="45"/>
    </row>
    <row r="100" spans="3:3" s="20" customFormat="1" ht="12.95" customHeight="1">
      <c r="C100" s="45"/>
    </row>
    <row r="101" spans="3:3" s="20" customFormat="1" ht="12.95" customHeight="1">
      <c r="C101" s="45"/>
    </row>
    <row r="102" spans="3:3" s="20" customFormat="1" ht="12.95" customHeight="1">
      <c r="C102" s="45"/>
    </row>
    <row r="103" spans="3:3" s="20" customFormat="1" ht="12.95" customHeight="1">
      <c r="C103" s="45"/>
    </row>
    <row r="104" spans="3:3" s="20" customFormat="1" ht="12.95" customHeight="1">
      <c r="C104" s="45"/>
    </row>
    <row r="105" spans="3:3" s="20" customFormat="1" ht="12.95" customHeight="1">
      <c r="C105" s="45"/>
    </row>
    <row r="106" spans="3:3" s="20" customFormat="1" ht="12.95" customHeight="1">
      <c r="C106" s="45"/>
    </row>
    <row r="107" spans="3:3" s="20" customFormat="1" ht="12.95" customHeight="1">
      <c r="C107" s="45"/>
    </row>
    <row r="108" spans="3:3" s="20" customFormat="1" ht="12.95" customHeight="1">
      <c r="C108" s="45"/>
    </row>
    <row r="109" spans="3:3" s="20" customFormat="1" ht="12.95" customHeight="1">
      <c r="C109" s="45"/>
    </row>
    <row r="110" spans="3:3" s="20" customFormat="1" ht="12.95" customHeight="1">
      <c r="C110" s="45"/>
    </row>
    <row r="111" spans="3:3" s="20" customFormat="1" ht="12.95" customHeight="1">
      <c r="C111" s="45"/>
    </row>
    <row r="112" spans="3:3" s="20" customFormat="1" ht="12.95" customHeight="1">
      <c r="C112" s="45"/>
    </row>
    <row r="113" spans="3:3" s="20" customFormat="1" ht="12.95" customHeight="1">
      <c r="C113" s="45"/>
    </row>
    <row r="114" spans="3:3" s="20" customFormat="1" ht="12.95" customHeight="1">
      <c r="C114" s="45"/>
    </row>
    <row r="115" spans="3:3" s="20" customFormat="1" ht="12.95" customHeight="1">
      <c r="C115" s="45"/>
    </row>
    <row r="116" spans="3:3" s="20" customFormat="1" ht="12.95" customHeight="1">
      <c r="C116" s="45"/>
    </row>
    <row r="117" spans="3:3" s="20" customFormat="1" ht="12.95" customHeight="1">
      <c r="C117" s="45"/>
    </row>
    <row r="118" spans="3:3" s="20" customFormat="1" ht="12.95" customHeight="1">
      <c r="C118" s="45"/>
    </row>
    <row r="119" spans="3:3" s="20" customFormat="1" ht="12.95" customHeight="1">
      <c r="C119" s="45"/>
    </row>
    <row r="120" spans="3:3" s="20" customFormat="1" ht="12.95" customHeight="1">
      <c r="C120" s="45"/>
    </row>
    <row r="121" spans="3:3" s="20" customFormat="1" ht="12.95" customHeight="1">
      <c r="C121" s="45"/>
    </row>
    <row r="122" spans="3:3" s="20" customFormat="1" ht="12.95" customHeight="1">
      <c r="C122" s="45"/>
    </row>
    <row r="123" spans="3:3" s="20" customFormat="1" ht="12.95" customHeight="1">
      <c r="C123" s="45"/>
    </row>
    <row r="124" spans="3:3" s="20" customFormat="1" ht="12.95" customHeight="1">
      <c r="C124" s="45"/>
    </row>
    <row r="125" spans="3:3" s="20" customFormat="1" ht="12.95" customHeight="1">
      <c r="C125" s="45"/>
    </row>
    <row r="126" spans="3:3" s="20" customFormat="1" ht="12.95" customHeight="1">
      <c r="C126" s="45"/>
    </row>
    <row r="127" spans="3:3" s="20" customFormat="1" ht="12.95" customHeight="1">
      <c r="C127" s="45"/>
    </row>
    <row r="128" spans="3:3" s="20" customFormat="1" ht="12.95" customHeight="1">
      <c r="C128" s="45"/>
    </row>
    <row r="129" spans="3:3" s="20" customFormat="1" ht="12.95" customHeight="1">
      <c r="C129" s="45"/>
    </row>
    <row r="130" spans="3:3" s="20" customFormat="1" ht="12.95" customHeight="1">
      <c r="C130" s="45"/>
    </row>
    <row r="131" spans="3:3" s="20" customFormat="1" ht="12.95" customHeight="1">
      <c r="C131" s="45"/>
    </row>
    <row r="132" spans="3:3" s="20" customFormat="1" ht="12.95" customHeight="1">
      <c r="C132" s="45"/>
    </row>
    <row r="133" spans="3:3" s="20" customFormat="1" ht="12.95" customHeight="1">
      <c r="C133" s="45"/>
    </row>
    <row r="134" spans="3:3" s="20" customFormat="1" ht="12.95" customHeight="1">
      <c r="C134" s="45"/>
    </row>
    <row r="135" spans="3:3" s="20" customFormat="1" ht="12.95" customHeight="1">
      <c r="C135" s="45"/>
    </row>
    <row r="136" spans="3:3" s="20" customFormat="1" ht="12.95" customHeight="1">
      <c r="C136" s="45"/>
    </row>
    <row r="137" spans="3:3" s="20" customFormat="1" ht="12.95" customHeight="1">
      <c r="C137" s="45"/>
    </row>
    <row r="138" spans="3:3" s="20" customFormat="1" ht="12.95" customHeight="1">
      <c r="C138" s="45"/>
    </row>
    <row r="139" spans="3:3" s="20" customFormat="1" ht="12.95" customHeight="1">
      <c r="C139" s="45"/>
    </row>
    <row r="140" spans="3:3" s="20" customFormat="1" ht="12.95" customHeight="1">
      <c r="C140" s="45"/>
    </row>
    <row r="141" spans="3:3" s="20" customFormat="1" ht="12.95" customHeight="1">
      <c r="C141" s="45"/>
    </row>
    <row r="142" spans="3:3" s="20" customFormat="1" ht="12.95" customHeight="1">
      <c r="C142" s="45"/>
    </row>
    <row r="143" spans="3:3" s="20" customFormat="1" ht="12.95" customHeight="1">
      <c r="C143" s="45"/>
    </row>
    <row r="144" spans="3:3" s="20" customFormat="1" ht="12.95" customHeight="1">
      <c r="C144" s="45"/>
    </row>
    <row r="145" spans="3:3" s="20" customFormat="1" ht="12.95" customHeight="1">
      <c r="C145" s="45"/>
    </row>
    <row r="146" spans="3:3" s="20" customFormat="1" ht="12.95" customHeight="1">
      <c r="C146" s="45"/>
    </row>
    <row r="147" spans="3:3" s="20" customFormat="1" ht="12.95" customHeight="1">
      <c r="C147" s="45"/>
    </row>
    <row r="148" spans="3:3" s="20" customFormat="1" ht="12.95" customHeight="1">
      <c r="C148" s="45"/>
    </row>
    <row r="149" spans="3:3" s="20" customFormat="1" ht="12.95" customHeight="1">
      <c r="C149" s="45"/>
    </row>
    <row r="150" spans="3:3" s="20" customFormat="1" ht="12.95" customHeight="1">
      <c r="C150" s="45"/>
    </row>
    <row r="151" spans="3:3" s="20" customFormat="1" ht="12.95" customHeight="1">
      <c r="C151" s="45"/>
    </row>
    <row r="152" spans="3:3" s="20" customFormat="1" ht="12.95" customHeight="1">
      <c r="C152" s="45"/>
    </row>
    <row r="153" spans="3:3" s="20" customFormat="1" ht="12.95" customHeight="1">
      <c r="C153" s="45"/>
    </row>
    <row r="154" spans="3:3" s="20" customFormat="1" ht="12.95" customHeight="1">
      <c r="C154" s="45"/>
    </row>
    <row r="155" spans="3:3" s="20" customFormat="1" ht="12.95" customHeight="1">
      <c r="C155" s="45"/>
    </row>
    <row r="156" spans="3:3" s="20" customFormat="1" ht="12.95" customHeight="1">
      <c r="C156" s="45"/>
    </row>
    <row r="157" spans="3:3" s="20" customFormat="1" ht="12.95" customHeight="1">
      <c r="C157" s="45"/>
    </row>
    <row r="158" spans="3:3" s="20" customFormat="1" ht="12.95" customHeight="1">
      <c r="C158" s="45"/>
    </row>
    <row r="159" spans="3:3" s="20" customFormat="1" ht="12.95" customHeight="1">
      <c r="C159" s="45"/>
    </row>
    <row r="160" spans="3:3" s="20" customFormat="1" ht="12.95" customHeight="1">
      <c r="C160" s="45"/>
    </row>
    <row r="161" spans="3:3" s="20" customFormat="1" ht="12.95" customHeight="1">
      <c r="C161" s="45"/>
    </row>
    <row r="162" spans="3:3" s="20" customFormat="1" ht="12.95" customHeight="1">
      <c r="C162" s="45"/>
    </row>
    <row r="163" spans="3:3" s="20" customFormat="1" ht="12.95" customHeight="1">
      <c r="C163" s="45"/>
    </row>
    <row r="164" spans="3:3" s="20" customFormat="1" ht="12.95" customHeight="1">
      <c r="C164" s="45"/>
    </row>
    <row r="165" spans="3:3" s="20" customFormat="1" ht="12.95" customHeight="1">
      <c r="C165" s="45"/>
    </row>
    <row r="166" spans="3:3" s="20" customFormat="1" ht="12.95" customHeight="1">
      <c r="C166" s="45"/>
    </row>
    <row r="167" spans="3:3" s="20" customFormat="1" ht="12.95" customHeight="1">
      <c r="C167" s="45"/>
    </row>
    <row r="168" spans="3:3" s="20" customFormat="1" ht="12.95" customHeight="1">
      <c r="C168" s="45"/>
    </row>
    <row r="169" spans="3:3" s="20" customFormat="1" ht="12.95" customHeight="1">
      <c r="C169" s="45"/>
    </row>
    <row r="170" spans="3:3" s="20" customFormat="1" ht="12.95" customHeight="1">
      <c r="C170" s="45"/>
    </row>
    <row r="171" spans="3:3" s="20" customFormat="1" ht="12.95" customHeight="1">
      <c r="C171" s="45"/>
    </row>
    <row r="172" spans="3:3" s="20" customFormat="1" ht="12.95" customHeight="1">
      <c r="C172" s="45"/>
    </row>
    <row r="173" spans="3:3" s="20" customFormat="1" ht="12.95" customHeight="1">
      <c r="C173" s="45"/>
    </row>
    <row r="174" spans="3:3" s="20" customFormat="1" ht="12.95" customHeight="1">
      <c r="C174" s="45"/>
    </row>
    <row r="175" spans="3:3" s="20" customFormat="1" ht="12.95" customHeight="1">
      <c r="C175" s="45"/>
    </row>
    <row r="176" spans="3:3" s="20" customFormat="1" ht="12.95" customHeight="1">
      <c r="C176" s="45"/>
    </row>
    <row r="177" spans="3:3" s="20" customFormat="1" ht="12.95" customHeight="1">
      <c r="C177" s="45"/>
    </row>
    <row r="178" spans="3:3" s="20" customFormat="1" ht="12.95" customHeight="1">
      <c r="C178" s="45"/>
    </row>
    <row r="179" spans="3:3" s="20" customFormat="1" ht="12.95" customHeight="1">
      <c r="C179" s="45"/>
    </row>
    <row r="180" spans="3:3" s="20" customFormat="1" ht="12.95" customHeight="1">
      <c r="C180" s="45"/>
    </row>
    <row r="181" spans="3:3" s="20" customFormat="1" ht="12.95" customHeight="1">
      <c r="C181" s="45"/>
    </row>
    <row r="182" spans="3:3" s="20" customFormat="1" ht="12.95" customHeight="1">
      <c r="C182" s="45"/>
    </row>
    <row r="183" spans="3:3" s="20" customFormat="1" ht="12.95" customHeight="1">
      <c r="C183" s="45"/>
    </row>
    <row r="184" spans="3:3" s="20" customFormat="1" ht="12.95" customHeight="1">
      <c r="C184" s="45"/>
    </row>
    <row r="185" spans="3:3" s="20" customFormat="1" ht="12.95" customHeight="1">
      <c r="C185" s="45"/>
    </row>
    <row r="186" spans="3:3" s="20" customFormat="1" ht="12.95" customHeight="1">
      <c r="C186" s="45"/>
    </row>
    <row r="187" spans="3:3" s="20" customFormat="1" ht="12.95" customHeight="1">
      <c r="C187" s="45"/>
    </row>
    <row r="188" spans="3:3" s="20" customFormat="1" ht="12.95" customHeight="1">
      <c r="C188" s="45"/>
    </row>
    <row r="189" spans="3:3" s="20" customFormat="1" ht="12.95" customHeight="1">
      <c r="C189" s="45"/>
    </row>
    <row r="190" spans="3:3" s="20" customFormat="1" ht="12.95" customHeight="1">
      <c r="C190" s="45"/>
    </row>
    <row r="191" spans="3:3" s="20" customFormat="1" ht="12.95" customHeight="1">
      <c r="C191" s="45"/>
    </row>
    <row r="192" spans="3:3" s="20" customFormat="1" ht="12.95" customHeight="1">
      <c r="C192" s="45"/>
    </row>
    <row r="193" spans="3:3" s="20" customFormat="1" ht="12.95" customHeight="1">
      <c r="C193" s="45"/>
    </row>
    <row r="194" spans="3:3" s="20" customFormat="1" ht="12.95" customHeight="1">
      <c r="C194" s="45"/>
    </row>
    <row r="195" spans="3:3" s="20" customFormat="1" ht="12.95" customHeight="1">
      <c r="C195" s="45"/>
    </row>
    <row r="196" spans="3:3" s="20" customFormat="1" ht="12.95" customHeight="1">
      <c r="C196" s="45"/>
    </row>
    <row r="197" spans="3:3" s="20" customFormat="1" ht="12.95" customHeight="1">
      <c r="C197" s="45"/>
    </row>
    <row r="198" spans="3:3" s="20" customFormat="1" ht="12.95" customHeight="1">
      <c r="C198" s="45"/>
    </row>
    <row r="199" spans="3:3" s="20" customFormat="1" ht="12.95" customHeight="1">
      <c r="C199" s="45"/>
    </row>
    <row r="200" spans="3:3" s="20" customFormat="1" ht="12.95" customHeight="1">
      <c r="C200" s="45"/>
    </row>
    <row r="201" spans="3:3" s="20" customFormat="1" ht="12.95" customHeight="1">
      <c r="C201" s="45"/>
    </row>
    <row r="202" spans="3:3" s="20" customFormat="1" ht="12.95" customHeight="1">
      <c r="C202" s="45"/>
    </row>
    <row r="203" spans="3:3" s="20" customFormat="1" ht="12.95" customHeight="1">
      <c r="C203" s="45"/>
    </row>
    <row r="204" spans="3:3" s="20" customFormat="1" ht="12.95" customHeight="1">
      <c r="C204" s="45"/>
    </row>
    <row r="205" spans="3:3" s="20" customFormat="1" ht="12.95" customHeight="1">
      <c r="C205" s="45"/>
    </row>
    <row r="206" spans="3:3" s="20" customFormat="1" ht="12.95" customHeight="1">
      <c r="C206" s="45"/>
    </row>
    <row r="207" spans="3:3" s="20" customFormat="1" ht="12.95" customHeight="1">
      <c r="C207" s="45"/>
    </row>
    <row r="208" spans="3:3" s="20" customFormat="1" ht="12.95" customHeight="1">
      <c r="C208" s="45"/>
    </row>
    <row r="209" spans="3:3" s="20" customFormat="1" ht="12.95" customHeight="1">
      <c r="C209" s="45"/>
    </row>
    <row r="210" spans="3:3" s="20" customFormat="1" ht="12.95" customHeight="1"/>
    <row r="211" spans="3:3" s="20" customFormat="1" ht="12.95" customHeight="1"/>
  </sheetData>
  <protectedRanges>
    <protectedRange sqref="A69:D69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6"/>
  <sheetViews>
    <sheetView topLeftCell="A9" workbookViewId="0">
      <selection activeCell="A19" sqref="A19:C56"/>
    </sheetView>
  </sheetViews>
  <sheetFormatPr defaultRowHeight="12.75"/>
  <cols>
    <col min="1" max="1" width="19.7109375" style="4" customWidth="1"/>
    <col min="2" max="2" width="4.42578125" style="3" customWidth="1"/>
    <col min="3" max="3" width="12.7109375" style="4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4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>
      <c r="A1" s="5" t="s">
        <v>49</v>
      </c>
      <c r="I1" s="6" t="s">
        <v>50</v>
      </c>
      <c r="J1" s="7" t="s">
        <v>51</v>
      </c>
    </row>
    <row r="2" spans="1:16">
      <c r="I2" s="8" t="s">
        <v>52</v>
      </c>
      <c r="J2" s="9" t="s">
        <v>53</v>
      </c>
    </row>
    <row r="3" spans="1:16">
      <c r="A3" s="10" t="s">
        <v>54</v>
      </c>
      <c r="I3" s="8" t="s">
        <v>55</v>
      </c>
      <c r="J3" s="9" t="s">
        <v>56</v>
      </c>
    </row>
    <row r="4" spans="1:16">
      <c r="I4" s="8" t="s">
        <v>57</v>
      </c>
      <c r="J4" s="9" t="s">
        <v>56</v>
      </c>
    </row>
    <row r="5" spans="1:16" ht="13.5" thickBot="1">
      <c r="I5" s="11" t="s">
        <v>58</v>
      </c>
      <c r="J5" s="12" t="s">
        <v>59</v>
      </c>
    </row>
    <row r="10" spans="1:16" ht="13.5" thickBot="1"/>
    <row r="11" spans="1:16" ht="12.75" customHeight="1" thickBot="1">
      <c r="A11" s="4" t="str">
        <f t="shared" ref="A11:A56" si="0">P11</f>
        <v>BAVM 241 (=IBVS 6157) </v>
      </c>
      <c r="B11" s="2" t="str">
        <f t="shared" ref="B11:B56" si="1">IF(H11=INT(H11),"I","II")</f>
        <v>I</v>
      </c>
      <c r="C11" s="4">
        <f t="shared" ref="C11:C56" si="2">1*G11</f>
        <v>57091.476499999997</v>
      </c>
      <c r="D11" s="3" t="str">
        <f t="shared" ref="D11:D56" si="3">VLOOKUP(F11,I$1:J$5,2,FALSE)</f>
        <v>vis</v>
      </c>
      <c r="E11" s="13">
        <f>VLOOKUP(C11,Active!C$21:E$972,3,FALSE)</f>
        <v>4463.9982701178014</v>
      </c>
      <c r="F11" s="2" t="s">
        <v>58</v>
      </c>
      <c r="G11" s="3" t="str">
        <f t="shared" ref="G11:G56" si="4">MID(I11,3,LEN(I11)-3)</f>
        <v>57091.4765</v>
      </c>
      <c r="H11" s="4">
        <f t="shared" ref="H11:H56" si="5">1*K11</f>
        <v>4464</v>
      </c>
      <c r="I11" s="14" t="s">
        <v>234</v>
      </c>
      <c r="J11" s="15" t="s">
        <v>235</v>
      </c>
      <c r="K11" s="14" t="s">
        <v>236</v>
      </c>
      <c r="L11" s="14" t="s">
        <v>237</v>
      </c>
      <c r="M11" s="15" t="s">
        <v>206</v>
      </c>
      <c r="N11" s="15" t="s">
        <v>207</v>
      </c>
      <c r="O11" s="16" t="s">
        <v>208</v>
      </c>
      <c r="P11" s="17" t="s">
        <v>238</v>
      </c>
    </row>
    <row r="12" spans="1:16" ht="12.75" customHeight="1" thickBot="1">
      <c r="A12" s="4" t="str">
        <f t="shared" si="0"/>
        <v> VSSC 64.24 </v>
      </c>
      <c r="B12" s="2" t="str">
        <f t="shared" si="1"/>
        <v>I</v>
      </c>
      <c r="C12" s="4">
        <f t="shared" si="2"/>
        <v>46113.277000000002</v>
      </c>
      <c r="D12" s="3" t="str">
        <f t="shared" si="3"/>
        <v>vis</v>
      </c>
      <c r="E12" s="13">
        <f>VLOOKUP(C12,Active!C$21:E$972,3,FALSE)</f>
        <v>2990.0001423218823</v>
      </c>
      <c r="F12" s="2" t="s">
        <v>58</v>
      </c>
      <c r="G12" s="3" t="str">
        <f t="shared" si="4"/>
        <v>46113.277</v>
      </c>
      <c r="H12" s="4">
        <f t="shared" si="5"/>
        <v>2990</v>
      </c>
      <c r="I12" s="14" t="s">
        <v>187</v>
      </c>
      <c r="J12" s="15" t="s">
        <v>188</v>
      </c>
      <c r="K12" s="14">
        <v>2990</v>
      </c>
      <c r="L12" s="14" t="s">
        <v>137</v>
      </c>
      <c r="M12" s="15" t="s">
        <v>65</v>
      </c>
      <c r="N12" s="15"/>
      <c r="O12" s="16" t="s">
        <v>185</v>
      </c>
      <c r="P12" s="16" t="s">
        <v>189</v>
      </c>
    </row>
    <row r="13" spans="1:16" ht="12.75" customHeight="1" thickBot="1">
      <c r="A13" s="4" t="str">
        <f t="shared" si="0"/>
        <v> BBS 87 </v>
      </c>
      <c r="B13" s="2" t="str">
        <f t="shared" si="1"/>
        <v>I</v>
      </c>
      <c r="C13" s="4">
        <f t="shared" si="2"/>
        <v>47230.483999999997</v>
      </c>
      <c r="D13" s="3" t="str">
        <f t="shared" si="3"/>
        <v>vis</v>
      </c>
      <c r="E13" s="13">
        <f>VLOOKUP(C13,Active!C$21:E$972,3,FALSE)</f>
        <v>3140.0029753329322</v>
      </c>
      <c r="F13" s="2" t="s">
        <v>58</v>
      </c>
      <c r="G13" s="3" t="str">
        <f t="shared" si="4"/>
        <v>47230.484</v>
      </c>
      <c r="H13" s="4">
        <f t="shared" si="5"/>
        <v>3140</v>
      </c>
      <c r="I13" s="14" t="s">
        <v>190</v>
      </c>
      <c r="J13" s="15" t="s">
        <v>191</v>
      </c>
      <c r="K13" s="14">
        <v>3140</v>
      </c>
      <c r="L13" s="14" t="s">
        <v>192</v>
      </c>
      <c r="M13" s="15" t="s">
        <v>65</v>
      </c>
      <c r="N13" s="15"/>
      <c r="O13" s="16" t="s">
        <v>193</v>
      </c>
      <c r="P13" s="16" t="s">
        <v>194</v>
      </c>
    </row>
    <row r="14" spans="1:16" ht="12.75" customHeight="1" thickBot="1">
      <c r="A14" s="4" t="str">
        <f t="shared" si="0"/>
        <v> BBS 94 </v>
      </c>
      <c r="B14" s="2" t="str">
        <f t="shared" si="1"/>
        <v>I</v>
      </c>
      <c r="C14" s="4">
        <f t="shared" si="2"/>
        <v>47945.446000000004</v>
      </c>
      <c r="D14" s="3" t="str">
        <f t="shared" si="3"/>
        <v>vis</v>
      </c>
      <c r="E14" s="13">
        <f>VLOOKUP(C14,Active!C$21:E$972,3,FALSE)</f>
        <v>3235.9980107160327</v>
      </c>
      <c r="F14" s="2" t="s">
        <v>58</v>
      </c>
      <c r="G14" s="3" t="str">
        <f t="shared" si="4"/>
        <v>47945.446</v>
      </c>
      <c r="H14" s="4">
        <f t="shared" si="5"/>
        <v>3236</v>
      </c>
      <c r="I14" s="14" t="s">
        <v>195</v>
      </c>
      <c r="J14" s="15" t="s">
        <v>196</v>
      </c>
      <c r="K14" s="14">
        <v>3236</v>
      </c>
      <c r="L14" s="14" t="s">
        <v>197</v>
      </c>
      <c r="M14" s="15" t="s">
        <v>65</v>
      </c>
      <c r="N14" s="15"/>
      <c r="O14" s="16" t="s">
        <v>193</v>
      </c>
      <c r="P14" s="16" t="s">
        <v>198</v>
      </c>
    </row>
    <row r="15" spans="1:16" ht="12.75" customHeight="1" thickBot="1">
      <c r="A15" s="4" t="str">
        <f t="shared" si="0"/>
        <v> BBS 97 </v>
      </c>
      <c r="B15" s="2" t="str">
        <f t="shared" si="1"/>
        <v>I</v>
      </c>
      <c r="C15" s="4">
        <f t="shared" si="2"/>
        <v>48310.41</v>
      </c>
      <c r="D15" s="3" t="str">
        <f t="shared" si="3"/>
        <v>vis</v>
      </c>
      <c r="E15" s="13">
        <f>VLOOKUP(C15,Active!C$21:E$972,3,FALSE)</f>
        <v>3285.000240336009</v>
      </c>
      <c r="F15" s="2" t="s">
        <v>58</v>
      </c>
      <c r="G15" s="3" t="str">
        <f t="shared" si="4"/>
        <v>48310.410</v>
      </c>
      <c r="H15" s="4">
        <f t="shared" si="5"/>
        <v>3285</v>
      </c>
      <c r="I15" s="14" t="s">
        <v>199</v>
      </c>
      <c r="J15" s="15" t="s">
        <v>200</v>
      </c>
      <c r="K15" s="14">
        <v>3285</v>
      </c>
      <c r="L15" s="14" t="s">
        <v>201</v>
      </c>
      <c r="M15" s="15" t="s">
        <v>65</v>
      </c>
      <c r="N15" s="15"/>
      <c r="O15" s="16" t="s">
        <v>193</v>
      </c>
      <c r="P15" s="16" t="s">
        <v>202</v>
      </c>
    </row>
    <row r="16" spans="1:16" ht="12.75" customHeight="1" thickBot="1">
      <c r="A16" s="4" t="str">
        <f t="shared" si="0"/>
        <v>BAVM 178 </v>
      </c>
      <c r="B16" s="2" t="str">
        <f t="shared" si="1"/>
        <v>I</v>
      </c>
      <c r="C16" s="4">
        <f t="shared" si="2"/>
        <v>53814.402000000002</v>
      </c>
      <c r="D16" s="3" t="str">
        <f t="shared" si="3"/>
        <v>vis</v>
      </c>
      <c r="E16" s="13">
        <f>VLOOKUP(C16,Active!C$21:E$972,3,FALSE)</f>
        <v>4023.9988259787388</v>
      </c>
      <c r="F16" s="2" t="s">
        <v>58</v>
      </c>
      <c r="G16" s="3" t="str">
        <f t="shared" si="4"/>
        <v>53814.4020</v>
      </c>
      <c r="H16" s="4">
        <f t="shared" si="5"/>
        <v>4024</v>
      </c>
      <c r="I16" s="14" t="s">
        <v>203</v>
      </c>
      <c r="J16" s="15" t="s">
        <v>204</v>
      </c>
      <c r="K16" s="14">
        <v>4024</v>
      </c>
      <c r="L16" s="14" t="s">
        <v>205</v>
      </c>
      <c r="M16" s="15" t="s">
        <v>206</v>
      </c>
      <c r="N16" s="15" t="s">
        <v>207</v>
      </c>
      <c r="O16" s="16" t="s">
        <v>208</v>
      </c>
      <c r="P16" s="17" t="s">
        <v>209</v>
      </c>
    </row>
    <row r="17" spans="1:16" ht="12.75" customHeight="1" thickBot="1">
      <c r="A17" s="4" t="str">
        <f t="shared" si="0"/>
        <v>BAVM 178 </v>
      </c>
      <c r="B17" s="2" t="str">
        <f t="shared" si="1"/>
        <v>I</v>
      </c>
      <c r="C17" s="4">
        <f t="shared" si="2"/>
        <v>53814.414100000002</v>
      </c>
      <c r="D17" s="3" t="str">
        <f t="shared" si="3"/>
        <v>vis</v>
      </c>
      <c r="E17" s="13">
        <f>VLOOKUP(C17,Active!C$21:E$972,3,FALSE)</f>
        <v>4024.0004505964498</v>
      </c>
      <c r="F17" s="2" t="s">
        <v>58</v>
      </c>
      <c r="G17" s="3" t="str">
        <f t="shared" si="4"/>
        <v>53814.4141</v>
      </c>
      <c r="H17" s="4">
        <f t="shared" si="5"/>
        <v>4024</v>
      </c>
      <c r="I17" s="14" t="s">
        <v>210</v>
      </c>
      <c r="J17" s="15" t="s">
        <v>211</v>
      </c>
      <c r="K17" s="14" t="s">
        <v>212</v>
      </c>
      <c r="L17" s="14" t="s">
        <v>213</v>
      </c>
      <c r="M17" s="15" t="s">
        <v>206</v>
      </c>
      <c r="N17" s="15" t="s">
        <v>214</v>
      </c>
      <c r="O17" s="16" t="s">
        <v>215</v>
      </c>
      <c r="P17" s="17" t="s">
        <v>209</v>
      </c>
    </row>
    <row r="18" spans="1:16" ht="12.75" customHeight="1" thickBot="1">
      <c r="A18" s="4" t="str">
        <f t="shared" si="0"/>
        <v>BAVM 238 </v>
      </c>
      <c r="B18" s="2" t="str">
        <f t="shared" si="1"/>
        <v>I</v>
      </c>
      <c r="C18" s="4">
        <f t="shared" si="2"/>
        <v>56726.536999999997</v>
      </c>
      <c r="D18" s="3" t="str">
        <f t="shared" si="3"/>
        <v>vis</v>
      </c>
      <c r="E18" s="13">
        <f>VLOOKUP(C18,Active!C$21:E$972,3,FALSE)</f>
        <v>4414.9993300130263</v>
      </c>
      <c r="F18" s="2" t="s">
        <v>58</v>
      </c>
      <c r="G18" s="3" t="str">
        <f t="shared" si="4"/>
        <v>56726.5370</v>
      </c>
      <c r="H18" s="4">
        <f t="shared" si="5"/>
        <v>4415</v>
      </c>
      <c r="I18" s="14" t="s">
        <v>229</v>
      </c>
      <c r="J18" s="15" t="s">
        <v>230</v>
      </c>
      <c r="K18" s="14" t="s">
        <v>231</v>
      </c>
      <c r="L18" s="14" t="s">
        <v>232</v>
      </c>
      <c r="M18" s="15" t="s">
        <v>206</v>
      </c>
      <c r="N18" s="15" t="s">
        <v>207</v>
      </c>
      <c r="O18" s="16" t="s">
        <v>208</v>
      </c>
      <c r="P18" s="17" t="s">
        <v>233</v>
      </c>
    </row>
    <row r="19" spans="1:16" ht="12.75" customHeight="1" thickBot="1">
      <c r="A19" s="4" t="str">
        <f t="shared" si="0"/>
        <v> SAC 4.46 </v>
      </c>
      <c r="B19" s="2" t="str">
        <f t="shared" si="1"/>
        <v>I</v>
      </c>
      <c r="C19" s="4">
        <f t="shared" si="2"/>
        <v>20224.36</v>
      </c>
      <c r="D19" s="3" t="str">
        <f t="shared" si="3"/>
        <v>vis</v>
      </c>
      <c r="E19" s="13">
        <f>VLOOKUP(C19,Active!C$21:E$972,3,FALSE)</f>
        <v>-485.99928624233439</v>
      </c>
      <c r="F19" s="2" t="s">
        <v>58</v>
      </c>
      <c r="G19" s="3" t="str">
        <f t="shared" si="4"/>
        <v>20224.360</v>
      </c>
      <c r="H19" s="4">
        <f t="shared" si="5"/>
        <v>-486</v>
      </c>
      <c r="I19" s="14" t="s">
        <v>62</v>
      </c>
      <c r="J19" s="15" t="s">
        <v>63</v>
      </c>
      <c r="K19" s="14">
        <v>-486</v>
      </c>
      <c r="L19" s="14" t="s">
        <v>64</v>
      </c>
      <c r="M19" s="15" t="s">
        <v>65</v>
      </c>
      <c r="N19" s="15"/>
      <c r="O19" s="16" t="s">
        <v>66</v>
      </c>
      <c r="P19" s="16" t="s">
        <v>67</v>
      </c>
    </row>
    <row r="20" spans="1:16" ht="12.75" customHeight="1" thickBot="1">
      <c r="A20" s="4" t="str">
        <f t="shared" si="0"/>
        <v> PZ 4.157 </v>
      </c>
      <c r="B20" s="2" t="str">
        <f t="shared" si="1"/>
        <v>I</v>
      </c>
      <c r="C20" s="4">
        <f t="shared" si="2"/>
        <v>20894.59</v>
      </c>
      <c r="D20" s="3" t="str">
        <f t="shared" si="3"/>
        <v>vis</v>
      </c>
      <c r="E20" s="13">
        <f>VLOOKUP(C20,Active!C$21:E$972,3,FALSE)</f>
        <v>-396.01023428598592</v>
      </c>
      <c r="F20" s="2" t="s">
        <v>58</v>
      </c>
      <c r="G20" s="3" t="str">
        <f t="shared" si="4"/>
        <v>20894.59</v>
      </c>
      <c r="H20" s="4">
        <f t="shared" si="5"/>
        <v>-396</v>
      </c>
      <c r="I20" s="14" t="s">
        <v>68</v>
      </c>
      <c r="J20" s="15" t="s">
        <v>69</v>
      </c>
      <c r="K20" s="14">
        <v>-396</v>
      </c>
      <c r="L20" s="14" t="s">
        <v>70</v>
      </c>
      <c r="M20" s="15" t="s">
        <v>71</v>
      </c>
      <c r="N20" s="15"/>
      <c r="O20" s="16" t="s">
        <v>72</v>
      </c>
      <c r="P20" s="16" t="s">
        <v>73</v>
      </c>
    </row>
    <row r="21" spans="1:16" ht="12.75" customHeight="1" thickBot="1">
      <c r="A21" s="4" t="str">
        <f t="shared" si="0"/>
        <v> AN 242.11 </v>
      </c>
      <c r="B21" s="2" t="str">
        <f t="shared" si="1"/>
        <v>I</v>
      </c>
      <c r="C21" s="4">
        <f t="shared" si="2"/>
        <v>21728.797999999999</v>
      </c>
      <c r="D21" s="3" t="str">
        <f t="shared" si="3"/>
        <v>vis</v>
      </c>
      <c r="E21" s="13">
        <f>VLOOKUP(C21,Active!C$21:E$972,3,FALSE)</f>
        <v>-284.00452422466145</v>
      </c>
      <c r="F21" s="2" t="s">
        <v>58</v>
      </c>
      <c r="G21" s="3" t="str">
        <f t="shared" si="4"/>
        <v>21728.798</v>
      </c>
      <c r="H21" s="4">
        <f t="shared" si="5"/>
        <v>-284</v>
      </c>
      <c r="I21" s="14" t="s">
        <v>74</v>
      </c>
      <c r="J21" s="15" t="s">
        <v>75</v>
      </c>
      <c r="K21" s="14">
        <v>-284</v>
      </c>
      <c r="L21" s="14" t="s">
        <v>76</v>
      </c>
      <c r="M21" s="15" t="s">
        <v>65</v>
      </c>
      <c r="N21" s="15"/>
      <c r="O21" s="16" t="s">
        <v>77</v>
      </c>
      <c r="P21" s="16" t="s">
        <v>78</v>
      </c>
    </row>
    <row r="22" spans="1:16" ht="12.75" customHeight="1" thickBot="1">
      <c r="A22" s="4" t="str">
        <f t="shared" si="0"/>
        <v> AN 242.11 </v>
      </c>
      <c r="B22" s="2" t="str">
        <f t="shared" si="1"/>
        <v>I</v>
      </c>
      <c r="C22" s="4">
        <f t="shared" si="2"/>
        <v>21967.172999999999</v>
      </c>
      <c r="D22" s="3" t="str">
        <f t="shared" si="3"/>
        <v>vis</v>
      </c>
      <c r="E22" s="13">
        <f>VLOOKUP(C22,Active!C$21:E$972,3,FALSE)</f>
        <v>-251.99888398161866</v>
      </c>
      <c r="F22" s="2" t="s">
        <v>58</v>
      </c>
      <c r="G22" s="3" t="str">
        <f t="shared" si="4"/>
        <v>21967.173</v>
      </c>
      <c r="H22" s="4">
        <f t="shared" si="5"/>
        <v>-252</v>
      </c>
      <c r="I22" s="14" t="s">
        <v>79</v>
      </c>
      <c r="J22" s="15" t="s">
        <v>80</v>
      </c>
      <c r="K22" s="14">
        <v>-252</v>
      </c>
      <c r="L22" s="14" t="s">
        <v>81</v>
      </c>
      <c r="M22" s="15" t="s">
        <v>65</v>
      </c>
      <c r="N22" s="15"/>
      <c r="O22" s="16" t="s">
        <v>77</v>
      </c>
      <c r="P22" s="16" t="s">
        <v>78</v>
      </c>
    </row>
    <row r="23" spans="1:16" ht="12.75" customHeight="1" thickBot="1">
      <c r="A23" s="4" t="str">
        <f t="shared" si="0"/>
        <v> AN 242.11 </v>
      </c>
      <c r="B23" s="2" t="str">
        <f t="shared" si="1"/>
        <v>I</v>
      </c>
      <c r="C23" s="4">
        <f t="shared" si="2"/>
        <v>22369.350999999999</v>
      </c>
      <c r="D23" s="3" t="str">
        <f t="shared" si="3"/>
        <v>vis</v>
      </c>
      <c r="E23" s="13">
        <f>VLOOKUP(C23,Active!C$21:E$972,3,FALSE)</f>
        <v>-198.00008217074728</v>
      </c>
      <c r="F23" s="2" t="s">
        <v>58</v>
      </c>
      <c r="G23" s="3" t="str">
        <f t="shared" si="4"/>
        <v>22369.351</v>
      </c>
      <c r="H23" s="4">
        <f t="shared" si="5"/>
        <v>-198</v>
      </c>
      <c r="I23" s="14" t="s">
        <v>82</v>
      </c>
      <c r="J23" s="15" t="s">
        <v>83</v>
      </c>
      <c r="K23" s="14">
        <v>-198</v>
      </c>
      <c r="L23" s="14" t="s">
        <v>84</v>
      </c>
      <c r="M23" s="15" t="s">
        <v>65</v>
      </c>
      <c r="N23" s="15"/>
      <c r="O23" s="16" t="s">
        <v>77</v>
      </c>
      <c r="P23" s="16" t="s">
        <v>78</v>
      </c>
    </row>
    <row r="24" spans="1:16" ht="12.75" customHeight="1" thickBot="1">
      <c r="A24" s="4" t="str">
        <f t="shared" si="0"/>
        <v> AN 242.11 </v>
      </c>
      <c r="B24" s="2" t="str">
        <f t="shared" si="1"/>
        <v>I</v>
      </c>
      <c r="C24" s="4">
        <f t="shared" si="2"/>
        <v>23434.42</v>
      </c>
      <c r="D24" s="3" t="str">
        <f t="shared" si="3"/>
        <v>vis</v>
      </c>
      <c r="E24" s="13">
        <f>VLOOKUP(C24,Active!C$21:E$972,3,FALSE)</f>
        <v>-54.99760603852976</v>
      </c>
      <c r="F24" s="2" t="s">
        <v>58</v>
      </c>
      <c r="G24" s="3" t="str">
        <f t="shared" si="4"/>
        <v>23434.420</v>
      </c>
      <c r="H24" s="4">
        <f t="shared" si="5"/>
        <v>-55</v>
      </c>
      <c r="I24" s="14" t="s">
        <v>85</v>
      </c>
      <c r="J24" s="15" t="s">
        <v>86</v>
      </c>
      <c r="K24" s="14">
        <v>-55</v>
      </c>
      <c r="L24" s="14" t="s">
        <v>87</v>
      </c>
      <c r="M24" s="15" t="s">
        <v>65</v>
      </c>
      <c r="N24" s="15"/>
      <c r="O24" s="16" t="s">
        <v>77</v>
      </c>
      <c r="P24" s="16" t="s">
        <v>78</v>
      </c>
    </row>
    <row r="25" spans="1:16" ht="12.75" customHeight="1" thickBot="1">
      <c r="A25" s="4" t="str">
        <f t="shared" si="0"/>
        <v> AN 242.11 </v>
      </c>
      <c r="B25" s="2" t="str">
        <f t="shared" si="1"/>
        <v>I</v>
      </c>
      <c r="C25" s="4">
        <f t="shared" si="2"/>
        <v>23516.323</v>
      </c>
      <c r="D25" s="3" t="str">
        <f t="shared" si="3"/>
        <v>vis</v>
      </c>
      <c r="E25" s="13">
        <f>VLOOKUP(C25,Active!C$21:E$972,3,FALSE)</f>
        <v>-44.000823855725351</v>
      </c>
      <c r="F25" s="2" t="s">
        <v>58</v>
      </c>
      <c r="G25" s="3" t="str">
        <f t="shared" si="4"/>
        <v>23516.323</v>
      </c>
      <c r="H25" s="4">
        <f t="shared" si="5"/>
        <v>-44</v>
      </c>
      <c r="I25" s="14" t="s">
        <v>88</v>
      </c>
      <c r="J25" s="15" t="s">
        <v>89</v>
      </c>
      <c r="K25" s="14">
        <v>-44</v>
      </c>
      <c r="L25" s="14" t="s">
        <v>90</v>
      </c>
      <c r="M25" s="15" t="s">
        <v>65</v>
      </c>
      <c r="N25" s="15"/>
      <c r="O25" s="16" t="s">
        <v>77</v>
      </c>
      <c r="P25" s="16" t="s">
        <v>78</v>
      </c>
    </row>
    <row r="26" spans="1:16" ht="12.75" customHeight="1" thickBot="1">
      <c r="A26" s="4" t="str">
        <f t="shared" si="0"/>
        <v> AN 242.11 </v>
      </c>
      <c r="B26" s="2" t="str">
        <f t="shared" si="1"/>
        <v>I</v>
      </c>
      <c r="C26" s="4">
        <f t="shared" si="2"/>
        <v>23844.013999999999</v>
      </c>
      <c r="D26" s="3" t="str">
        <f t="shared" si="3"/>
        <v>vis</v>
      </c>
      <c r="E26" s="13">
        <f>VLOOKUP(C26,Active!C$21:E$972,3,FALSE)</f>
        <v>-3.0881163109534059E-3</v>
      </c>
      <c r="F26" s="2" t="s">
        <v>58</v>
      </c>
      <c r="G26" s="3" t="str">
        <f t="shared" si="4"/>
        <v>23844.014</v>
      </c>
      <c r="H26" s="4">
        <f t="shared" si="5"/>
        <v>0</v>
      </c>
      <c r="I26" s="14" t="s">
        <v>91</v>
      </c>
      <c r="J26" s="15" t="s">
        <v>92</v>
      </c>
      <c r="K26" s="14">
        <v>0</v>
      </c>
      <c r="L26" s="14" t="s">
        <v>93</v>
      </c>
      <c r="M26" s="15" t="s">
        <v>65</v>
      </c>
      <c r="N26" s="15"/>
      <c r="O26" s="16" t="s">
        <v>77</v>
      </c>
      <c r="P26" s="16" t="s">
        <v>78</v>
      </c>
    </row>
    <row r="27" spans="1:16" ht="12.75" customHeight="1" thickBot="1">
      <c r="A27" s="4" t="str">
        <f t="shared" si="0"/>
        <v> AN 242.11 </v>
      </c>
      <c r="B27" s="2" t="str">
        <f t="shared" si="1"/>
        <v>I</v>
      </c>
      <c r="C27" s="4">
        <f t="shared" si="2"/>
        <v>24231.325000000001</v>
      </c>
      <c r="D27" s="3" t="str">
        <f t="shared" si="3"/>
        <v>vis</v>
      </c>
      <c r="E27" s="13">
        <f>VLOOKUP(C27,Active!C$21:E$972,3,FALSE)</f>
        <v>51.999582164436617</v>
      </c>
      <c r="F27" s="2" t="s">
        <v>58</v>
      </c>
      <c r="G27" s="3" t="str">
        <f t="shared" si="4"/>
        <v>24231.325</v>
      </c>
      <c r="H27" s="4">
        <f t="shared" si="5"/>
        <v>52</v>
      </c>
      <c r="I27" s="14" t="s">
        <v>94</v>
      </c>
      <c r="J27" s="15" t="s">
        <v>95</v>
      </c>
      <c r="K27" s="14">
        <v>52</v>
      </c>
      <c r="L27" s="14" t="s">
        <v>60</v>
      </c>
      <c r="M27" s="15" t="s">
        <v>65</v>
      </c>
      <c r="N27" s="15"/>
      <c r="O27" s="16" t="s">
        <v>77</v>
      </c>
      <c r="P27" s="16" t="s">
        <v>78</v>
      </c>
    </row>
    <row r="28" spans="1:16" ht="12.75" customHeight="1" thickBot="1">
      <c r="A28" s="4" t="str">
        <f t="shared" si="0"/>
        <v> AN 258.291 </v>
      </c>
      <c r="B28" s="2" t="str">
        <f t="shared" si="1"/>
        <v>I</v>
      </c>
      <c r="C28" s="4">
        <f t="shared" si="2"/>
        <v>24253.683000000001</v>
      </c>
      <c r="D28" s="3" t="str">
        <f t="shared" si="3"/>
        <v>vis</v>
      </c>
      <c r="E28" s="13">
        <f>VLOOKUP(C28,Active!C$21:E$972,3,FALSE)</f>
        <v>55.001499750399731</v>
      </c>
      <c r="F28" s="2" t="s">
        <v>58</v>
      </c>
      <c r="G28" s="3" t="str">
        <f t="shared" si="4"/>
        <v>24253.683</v>
      </c>
      <c r="H28" s="4">
        <f t="shared" si="5"/>
        <v>55</v>
      </c>
      <c r="I28" s="14" t="s">
        <v>96</v>
      </c>
      <c r="J28" s="15" t="s">
        <v>97</v>
      </c>
      <c r="K28" s="14">
        <v>55</v>
      </c>
      <c r="L28" s="14" t="s">
        <v>98</v>
      </c>
      <c r="M28" s="15" t="s">
        <v>65</v>
      </c>
      <c r="N28" s="15"/>
      <c r="O28" s="16" t="s">
        <v>99</v>
      </c>
      <c r="P28" s="16" t="s">
        <v>100</v>
      </c>
    </row>
    <row r="29" spans="1:16" ht="12.75" customHeight="1" thickBot="1">
      <c r="A29" s="4" t="str">
        <f t="shared" si="0"/>
        <v> AN 242.11 </v>
      </c>
      <c r="B29" s="2" t="str">
        <f t="shared" si="1"/>
        <v>I</v>
      </c>
      <c r="C29" s="4">
        <f t="shared" si="2"/>
        <v>24596.285</v>
      </c>
      <c r="D29" s="3" t="str">
        <f t="shared" si="3"/>
        <v>vis</v>
      </c>
      <c r="E29" s="13">
        <f>VLOOKUP(C29,Active!C$21:E$972,3,FALSE)</f>
        <v>101.00127472070668</v>
      </c>
      <c r="F29" s="2" t="s">
        <v>58</v>
      </c>
      <c r="G29" s="3" t="str">
        <f t="shared" si="4"/>
        <v>24596.285</v>
      </c>
      <c r="H29" s="4">
        <f t="shared" si="5"/>
        <v>101</v>
      </c>
      <c r="I29" s="14" t="s">
        <v>101</v>
      </c>
      <c r="J29" s="15" t="s">
        <v>102</v>
      </c>
      <c r="K29" s="14">
        <v>101</v>
      </c>
      <c r="L29" s="14" t="s">
        <v>103</v>
      </c>
      <c r="M29" s="15" t="s">
        <v>65</v>
      </c>
      <c r="N29" s="15"/>
      <c r="O29" s="16" t="s">
        <v>77</v>
      </c>
      <c r="P29" s="16" t="s">
        <v>78</v>
      </c>
    </row>
    <row r="30" spans="1:16" ht="12.75" customHeight="1" thickBot="1">
      <c r="A30" s="4" t="str">
        <f t="shared" si="0"/>
        <v> AN 242.11 </v>
      </c>
      <c r="B30" s="2" t="str">
        <f t="shared" si="1"/>
        <v>I</v>
      </c>
      <c r="C30" s="4">
        <f t="shared" si="2"/>
        <v>24618.597000000002</v>
      </c>
      <c r="D30" s="3" t="str">
        <f t="shared" si="3"/>
        <v>vis</v>
      </c>
      <c r="E30" s="13">
        <f>VLOOKUP(C30,Active!C$21:E$972,3,FALSE)</f>
        <v>103.99701607404837</v>
      </c>
      <c r="F30" s="2" t="s">
        <v>58</v>
      </c>
      <c r="G30" s="3" t="str">
        <f t="shared" si="4"/>
        <v>24618.597</v>
      </c>
      <c r="H30" s="4">
        <f t="shared" si="5"/>
        <v>104</v>
      </c>
      <c r="I30" s="14" t="s">
        <v>104</v>
      </c>
      <c r="J30" s="15" t="s">
        <v>105</v>
      </c>
      <c r="K30" s="14">
        <v>104</v>
      </c>
      <c r="L30" s="14" t="s">
        <v>106</v>
      </c>
      <c r="M30" s="15" t="s">
        <v>65</v>
      </c>
      <c r="N30" s="15"/>
      <c r="O30" s="16" t="s">
        <v>77</v>
      </c>
      <c r="P30" s="16" t="s">
        <v>78</v>
      </c>
    </row>
    <row r="31" spans="1:16" ht="12.75" customHeight="1" thickBot="1">
      <c r="A31" s="4" t="str">
        <f t="shared" si="0"/>
        <v> AN 242.11 </v>
      </c>
      <c r="B31" s="2" t="str">
        <f t="shared" si="1"/>
        <v>I</v>
      </c>
      <c r="C31" s="4">
        <f t="shared" si="2"/>
        <v>24879.286</v>
      </c>
      <c r="D31" s="3" t="str">
        <f t="shared" si="3"/>
        <v>vis</v>
      </c>
      <c r="E31" s="13">
        <f>VLOOKUP(C31,Active!C$21:E$972,3,FALSE)</f>
        <v>138.99866620228556</v>
      </c>
      <c r="F31" s="2" t="s">
        <v>58</v>
      </c>
      <c r="G31" s="3" t="str">
        <f t="shared" si="4"/>
        <v>24879.286</v>
      </c>
      <c r="H31" s="4">
        <f t="shared" si="5"/>
        <v>139</v>
      </c>
      <c r="I31" s="14" t="s">
        <v>107</v>
      </c>
      <c r="J31" s="15" t="s">
        <v>108</v>
      </c>
      <c r="K31" s="14">
        <v>139</v>
      </c>
      <c r="L31" s="14" t="s">
        <v>109</v>
      </c>
      <c r="M31" s="15" t="s">
        <v>65</v>
      </c>
      <c r="N31" s="15"/>
      <c r="O31" s="16" t="s">
        <v>77</v>
      </c>
      <c r="P31" s="16" t="s">
        <v>78</v>
      </c>
    </row>
    <row r="32" spans="1:16" ht="12.75" customHeight="1" thickBot="1">
      <c r="A32" s="4" t="str">
        <f t="shared" si="0"/>
        <v> AN 242.11 </v>
      </c>
      <c r="B32" s="2" t="str">
        <f t="shared" si="1"/>
        <v>I</v>
      </c>
      <c r="C32" s="4">
        <f t="shared" si="2"/>
        <v>24961.23</v>
      </c>
      <c r="D32" s="3" t="str">
        <f t="shared" si="3"/>
        <v>vis</v>
      </c>
      <c r="E32" s="13">
        <f>VLOOKUP(C32,Active!C$21:E$972,3,FALSE)</f>
        <v>150.00095328807848</v>
      </c>
      <c r="F32" s="2" t="s">
        <v>58</v>
      </c>
      <c r="G32" s="3" t="str">
        <f t="shared" si="4"/>
        <v>24961.230</v>
      </c>
      <c r="H32" s="4">
        <f t="shared" si="5"/>
        <v>150</v>
      </c>
      <c r="I32" s="14" t="s">
        <v>110</v>
      </c>
      <c r="J32" s="15" t="s">
        <v>111</v>
      </c>
      <c r="K32" s="14">
        <v>150</v>
      </c>
      <c r="L32" s="14" t="s">
        <v>112</v>
      </c>
      <c r="M32" s="15" t="s">
        <v>65</v>
      </c>
      <c r="N32" s="15"/>
      <c r="O32" s="16" t="s">
        <v>77</v>
      </c>
      <c r="P32" s="16" t="s">
        <v>78</v>
      </c>
    </row>
    <row r="33" spans="1:16" ht="12.75" customHeight="1" thickBot="1">
      <c r="A33" s="4" t="str">
        <f t="shared" si="0"/>
        <v> AJ 39.85 </v>
      </c>
      <c r="B33" s="2" t="str">
        <f t="shared" si="1"/>
        <v>I</v>
      </c>
      <c r="C33" s="4">
        <f t="shared" si="2"/>
        <v>25333.608</v>
      </c>
      <c r="D33" s="3" t="str">
        <f t="shared" si="3"/>
        <v>vis</v>
      </c>
      <c r="E33" s="13">
        <f>VLOOKUP(C33,Active!C$21:E$972,3,FALSE)</f>
        <v>199.99863048754912</v>
      </c>
      <c r="F33" s="2" t="s">
        <v>58</v>
      </c>
      <c r="G33" s="3" t="str">
        <f t="shared" si="4"/>
        <v>25333.608</v>
      </c>
      <c r="H33" s="4">
        <f t="shared" si="5"/>
        <v>200</v>
      </c>
      <c r="I33" s="14" t="s">
        <v>113</v>
      </c>
      <c r="J33" s="15" t="s">
        <v>114</v>
      </c>
      <c r="K33" s="14">
        <v>200</v>
      </c>
      <c r="L33" s="14" t="s">
        <v>109</v>
      </c>
      <c r="M33" s="15" t="s">
        <v>65</v>
      </c>
      <c r="N33" s="15"/>
      <c r="O33" s="16" t="s">
        <v>115</v>
      </c>
      <c r="P33" s="16" t="s">
        <v>116</v>
      </c>
    </row>
    <row r="34" spans="1:16" ht="12.75" customHeight="1" thickBot="1">
      <c r="A34" s="4" t="str">
        <f t="shared" si="0"/>
        <v> AN 242.11 </v>
      </c>
      <c r="B34" s="2" t="str">
        <f t="shared" si="1"/>
        <v>I</v>
      </c>
      <c r="C34" s="4">
        <f t="shared" si="2"/>
        <v>25378.325000000001</v>
      </c>
      <c r="D34" s="3" t="str">
        <f t="shared" si="3"/>
        <v>vis</v>
      </c>
      <c r="E34" s="13">
        <f>VLOOKUP(C34,Active!C$21:E$972,3,FALSE)</f>
        <v>206.00259992540191</v>
      </c>
      <c r="F34" s="2" t="s">
        <v>58</v>
      </c>
      <c r="G34" s="3" t="str">
        <f t="shared" si="4"/>
        <v>25378.325</v>
      </c>
      <c r="H34" s="4">
        <f t="shared" si="5"/>
        <v>206</v>
      </c>
      <c r="I34" s="14" t="s">
        <v>117</v>
      </c>
      <c r="J34" s="15" t="s">
        <v>118</v>
      </c>
      <c r="K34" s="14">
        <v>206</v>
      </c>
      <c r="L34" s="14" t="s">
        <v>119</v>
      </c>
      <c r="M34" s="15" t="s">
        <v>65</v>
      </c>
      <c r="N34" s="15"/>
      <c r="O34" s="16" t="s">
        <v>77</v>
      </c>
      <c r="P34" s="16" t="s">
        <v>78</v>
      </c>
    </row>
    <row r="35" spans="1:16" ht="12.75" customHeight="1" thickBot="1">
      <c r="A35" s="4" t="str">
        <f t="shared" si="0"/>
        <v> AN 242.11 </v>
      </c>
      <c r="B35" s="2" t="str">
        <f t="shared" si="1"/>
        <v>I</v>
      </c>
      <c r="C35" s="4">
        <f t="shared" si="2"/>
        <v>25631.550999999999</v>
      </c>
      <c r="D35" s="3" t="str">
        <f t="shared" si="3"/>
        <v>vis</v>
      </c>
      <c r="E35" s="13">
        <f>VLOOKUP(C35,Active!C$21:E$972,3,FALSE)</f>
        <v>240.0022234437437</v>
      </c>
      <c r="F35" s="2" t="s">
        <v>58</v>
      </c>
      <c r="G35" s="3" t="str">
        <f t="shared" si="4"/>
        <v>25631.551</v>
      </c>
      <c r="H35" s="4">
        <f t="shared" si="5"/>
        <v>240</v>
      </c>
      <c r="I35" s="14" t="s">
        <v>120</v>
      </c>
      <c r="J35" s="15" t="s">
        <v>121</v>
      </c>
      <c r="K35" s="14">
        <v>240</v>
      </c>
      <c r="L35" s="14" t="s">
        <v>122</v>
      </c>
      <c r="M35" s="15" t="s">
        <v>65</v>
      </c>
      <c r="N35" s="15"/>
      <c r="O35" s="16" t="s">
        <v>77</v>
      </c>
      <c r="P35" s="16" t="s">
        <v>78</v>
      </c>
    </row>
    <row r="36" spans="1:16" ht="12.75" customHeight="1" thickBot="1">
      <c r="A36" s="4" t="str">
        <f t="shared" si="0"/>
        <v> AN 242.11 </v>
      </c>
      <c r="B36" s="2" t="str">
        <f t="shared" si="1"/>
        <v>I</v>
      </c>
      <c r="C36" s="4">
        <f t="shared" si="2"/>
        <v>25698.562999999998</v>
      </c>
      <c r="D36" s="3" t="str">
        <f t="shared" si="3"/>
        <v>vis</v>
      </c>
      <c r="E36" s="13">
        <f>VLOOKUP(C36,Active!C$21:E$972,3,FALSE)</f>
        <v>248.99965171418626</v>
      </c>
      <c r="F36" s="2" t="s">
        <v>58</v>
      </c>
      <c r="G36" s="3" t="str">
        <f t="shared" si="4"/>
        <v>25698.563</v>
      </c>
      <c r="H36" s="4">
        <f t="shared" si="5"/>
        <v>249</v>
      </c>
      <c r="I36" s="14" t="s">
        <v>123</v>
      </c>
      <c r="J36" s="15" t="s">
        <v>124</v>
      </c>
      <c r="K36" s="14">
        <v>249</v>
      </c>
      <c r="L36" s="14" t="s">
        <v>60</v>
      </c>
      <c r="M36" s="15" t="s">
        <v>65</v>
      </c>
      <c r="N36" s="15"/>
      <c r="O36" s="16" t="s">
        <v>77</v>
      </c>
      <c r="P36" s="16" t="s">
        <v>78</v>
      </c>
    </row>
    <row r="37" spans="1:16" ht="12.75" customHeight="1" thickBot="1">
      <c r="A37" s="4" t="str">
        <f t="shared" si="0"/>
        <v> AN 264.105 </v>
      </c>
      <c r="B37" s="2" t="str">
        <f t="shared" si="1"/>
        <v>I</v>
      </c>
      <c r="C37" s="4">
        <f t="shared" si="2"/>
        <v>27545.687000000002</v>
      </c>
      <c r="D37" s="3" t="str">
        <f t="shared" si="3"/>
        <v>vis</v>
      </c>
      <c r="E37" s="13">
        <f>VLOOKUP(C37,Active!C$21:E$972,3,FALSE)</f>
        <v>497.00546703999777</v>
      </c>
      <c r="F37" s="2" t="s">
        <v>58</v>
      </c>
      <c r="G37" s="3" t="str">
        <f t="shared" si="4"/>
        <v>27545.687</v>
      </c>
      <c r="H37" s="4">
        <f t="shared" si="5"/>
        <v>497</v>
      </c>
      <c r="I37" s="14" t="s">
        <v>125</v>
      </c>
      <c r="J37" s="15" t="s">
        <v>126</v>
      </c>
      <c r="K37" s="14">
        <v>497</v>
      </c>
      <c r="L37" s="14" t="s">
        <v>127</v>
      </c>
      <c r="M37" s="15" t="s">
        <v>65</v>
      </c>
      <c r="N37" s="15"/>
      <c r="O37" s="16" t="s">
        <v>128</v>
      </c>
      <c r="P37" s="16" t="s">
        <v>129</v>
      </c>
    </row>
    <row r="38" spans="1:16" ht="12.75" customHeight="1" thickBot="1">
      <c r="A38" s="4" t="str">
        <f t="shared" si="0"/>
        <v> AN 264.105 </v>
      </c>
      <c r="B38" s="2" t="str">
        <f t="shared" si="1"/>
        <v>I</v>
      </c>
      <c r="C38" s="4">
        <f t="shared" si="2"/>
        <v>27873.353999999999</v>
      </c>
      <c r="D38" s="3" t="str">
        <f t="shared" si="3"/>
        <v>vis</v>
      </c>
      <c r="E38" s="13">
        <f>VLOOKUP(C38,Active!C$21:E$972,3,FALSE)</f>
        <v>540.99998039717457</v>
      </c>
      <c r="F38" s="2" t="s">
        <v>58</v>
      </c>
      <c r="G38" s="3" t="str">
        <f t="shared" si="4"/>
        <v>27873.354</v>
      </c>
      <c r="H38" s="4">
        <f t="shared" si="5"/>
        <v>541</v>
      </c>
      <c r="I38" s="14" t="s">
        <v>130</v>
      </c>
      <c r="J38" s="15" t="s">
        <v>131</v>
      </c>
      <c r="K38" s="14">
        <v>541</v>
      </c>
      <c r="L38" s="14" t="s">
        <v>132</v>
      </c>
      <c r="M38" s="15" t="s">
        <v>65</v>
      </c>
      <c r="N38" s="15"/>
      <c r="O38" s="16" t="s">
        <v>128</v>
      </c>
      <c r="P38" s="16" t="s">
        <v>129</v>
      </c>
    </row>
    <row r="39" spans="1:16" ht="12.75" customHeight="1" thickBot="1">
      <c r="A39" s="4" t="str">
        <f t="shared" si="0"/>
        <v> AN 264.105 </v>
      </c>
      <c r="B39" s="2" t="str">
        <f t="shared" si="1"/>
        <v>I</v>
      </c>
      <c r="C39" s="4">
        <f t="shared" si="2"/>
        <v>27888.249</v>
      </c>
      <c r="D39" s="3" t="str">
        <f t="shared" si="3"/>
        <v>vis</v>
      </c>
      <c r="E39" s="13">
        <f>VLOOKUP(C39,Active!C$21:E$972,3,FALSE)</f>
        <v>542.99987137324229</v>
      </c>
      <c r="F39" s="2" t="s">
        <v>58</v>
      </c>
      <c r="G39" s="3" t="str">
        <f t="shared" si="4"/>
        <v>27888.249</v>
      </c>
      <c r="H39" s="4">
        <f t="shared" si="5"/>
        <v>543</v>
      </c>
      <c r="I39" s="14" t="s">
        <v>133</v>
      </c>
      <c r="J39" s="15" t="s">
        <v>134</v>
      </c>
      <c r="K39" s="14">
        <v>543</v>
      </c>
      <c r="L39" s="14" t="s">
        <v>84</v>
      </c>
      <c r="M39" s="15" t="s">
        <v>65</v>
      </c>
      <c r="N39" s="15"/>
      <c r="O39" s="16" t="s">
        <v>128</v>
      </c>
      <c r="P39" s="16" t="s">
        <v>129</v>
      </c>
    </row>
    <row r="40" spans="1:16" ht="12.75" customHeight="1" thickBot="1">
      <c r="A40" s="4" t="str">
        <f t="shared" si="0"/>
        <v> AN 264.105 </v>
      </c>
      <c r="B40" s="2" t="str">
        <f t="shared" si="1"/>
        <v>I</v>
      </c>
      <c r="C40" s="4">
        <f t="shared" si="2"/>
        <v>27925.49</v>
      </c>
      <c r="D40" s="3" t="str">
        <f t="shared" si="3"/>
        <v>vis</v>
      </c>
      <c r="E40" s="13">
        <f>VLOOKUP(C40,Active!C$21:E$972,3,FALSE)</f>
        <v>548.00006874415465</v>
      </c>
      <c r="F40" s="2" t="s">
        <v>58</v>
      </c>
      <c r="G40" s="3" t="str">
        <f t="shared" si="4"/>
        <v>27925.490</v>
      </c>
      <c r="H40" s="4">
        <f t="shared" si="5"/>
        <v>548</v>
      </c>
      <c r="I40" s="14" t="s">
        <v>135</v>
      </c>
      <c r="J40" s="15" t="s">
        <v>136</v>
      </c>
      <c r="K40" s="14">
        <v>548</v>
      </c>
      <c r="L40" s="14" t="s">
        <v>137</v>
      </c>
      <c r="M40" s="15" t="s">
        <v>65</v>
      </c>
      <c r="N40" s="15"/>
      <c r="O40" s="16" t="s">
        <v>128</v>
      </c>
      <c r="P40" s="16" t="s">
        <v>129</v>
      </c>
    </row>
    <row r="41" spans="1:16" ht="12.75" customHeight="1" thickBot="1">
      <c r="A41" s="4" t="str">
        <f t="shared" si="0"/>
        <v> AN 264.105 </v>
      </c>
      <c r="B41" s="2" t="str">
        <f t="shared" si="1"/>
        <v>I</v>
      </c>
      <c r="C41" s="4">
        <f t="shared" si="2"/>
        <v>28253.214</v>
      </c>
      <c r="D41" s="3" t="str">
        <f t="shared" si="3"/>
        <v>vis</v>
      </c>
      <c r="E41" s="13">
        <f>VLOOKUP(C41,Active!C$21:E$972,3,FALSE)</f>
        <v>592.00223525914532</v>
      </c>
      <c r="F41" s="2" t="s">
        <v>58</v>
      </c>
      <c r="G41" s="3" t="str">
        <f t="shared" si="4"/>
        <v>28253.214</v>
      </c>
      <c r="H41" s="4">
        <f t="shared" si="5"/>
        <v>592</v>
      </c>
      <c r="I41" s="14" t="s">
        <v>138</v>
      </c>
      <c r="J41" s="15" t="s">
        <v>139</v>
      </c>
      <c r="K41" s="14">
        <v>592</v>
      </c>
      <c r="L41" s="14" t="s">
        <v>122</v>
      </c>
      <c r="M41" s="15" t="s">
        <v>65</v>
      </c>
      <c r="N41" s="15"/>
      <c r="O41" s="16" t="s">
        <v>128</v>
      </c>
      <c r="P41" s="16" t="s">
        <v>129</v>
      </c>
    </row>
    <row r="42" spans="1:16" ht="12.75" customHeight="1" thickBot="1">
      <c r="A42" s="4" t="str">
        <f t="shared" si="0"/>
        <v> AN 264.105 </v>
      </c>
      <c r="B42" s="2" t="str">
        <f t="shared" si="1"/>
        <v>I</v>
      </c>
      <c r="C42" s="4">
        <f t="shared" si="2"/>
        <v>28498.988000000001</v>
      </c>
      <c r="D42" s="3" t="str">
        <f t="shared" si="3"/>
        <v>vis</v>
      </c>
      <c r="E42" s="13">
        <f>VLOOKUP(C42,Active!C$21:E$972,3,FALSE)</f>
        <v>625.00130909278403</v>
      </c>
      <c r="F42" s="2" t="s">
        <v>58</v>
      </c>
      <c r="G42" s="3" t="str">
        <f t="shared" si="4"/>
        <v>28498.988</v>
      </c>
      <c r="H42" s="4">
        <f t="shared" si="5"/>
        <v>625</v>
      </c>
      <c r="I42" s="14" t="s">
        <v>140</v>
      </c>
      <c r="J42" s="15" t="s">
        <v>141</v>
      </c>
      <c r="K42" s="14">
        <v>625</v>
      </c>
      <c r="L42" s="14" t="s">
        <v>142</v>
      </c>
      <c r="M42" s="15" t="s">
        <v>65</v>
      </c>
      <c r="N42" s="15"/>
      <c r="O42" s="16" t="s">
        <v>128</v>
      </c>
      <c r="P42" s="16" t="s">
        <v>129</v>
      </c>
    </row>
    <row r="43" spans="1:16" ht="12.75" customHeight="1" thickBot="1">
      <c r="A43" s="4" t="str">
        <f t="shared" si="0"/>
        <v> AN 264.105 </v>
      </c>
      <c r="B43" s="2" t="str">
        <f t="shared" si="1"/>
        <v>I</v>
      </c>
      <c r="C43" s="4">
        <f t="shared" si="2"/>
        <v>28521.351999999999</v>
      </c>
      <c r="D43" s="3" t="str">
        <f t="shared" si="3"/>
        <v>vis</v>
      </c>
      <c r="E43" s="13">
        <f>VLOOKUP(C43,Active!C$21:E$972,3,FALSE)</f>
        <v>628.00403227430627</v>
      </c>
      <c r="F43" s="2" t="s">
        <v>58</v>
      </c>
      <c r="G43" s="3" t="str">
        <f t="shared" si="4"/>
        <v>28521.352</v>
      </c>
      <c r="H43" s="4">
        <f t="shared" si="5"/>
        <v>628</v>
      </c>
      <c r="I43" s="14" t="s">
        <v>143</v>
      </c>
      <c r="J43" s="15" t="s">
        <v>144</v>
      </c>
      <c r="K43" s="14">
        <v>628</v>
      </c>
      <c r="L43" s="14" t="s">
        <v>145</v>
      </c>
      <c r="M43" s="15" t="s">
        <v>65</v>
      </c>
      <c r="N43" s="15"/>
      <c r="O43" s="16" t="s">
        <v>128</v>
      </c>
      <c r="P43" s="16" t="s">
        <v>129</v>
      </c>
    </row>
    <row r="44" spans="1:16" ht="12.75" customHeight="1" thickBot="1">
      <c r="A44" s="4" t="str">
        <f t="shared" si="0"/>
        <v> AN 264.105 </v>
      </c>
      <c r="B44" s="2" t="str">
        <f t="shared" si="1"/>
        <v>I</v>
      </c>
      <c r="C44" s="4">
        <f t="shared" si="2"/>
        <v>28543.632000000001</v>
      </c>
      <c r="D44" s="3" t="str">
        <f t="shared" si="3"/>
        <v>vis</v>
      </c>
      <c r="E44" s="13">
        <f>VLOOKUP(C44,Active!C$21:E$972,3,FALSE)</f>
        <v>630.99547711799823</v>
      </c>
      <c r="F44" s="2" t="s">
        <v>58</v>
      </c>
      <c r="G44" s="3" t="str">
        <f t="shared" si="4"/>
        <v>28543.632</v>
      </c>
      <c r="H44" s="4">
        <f t="shared" si="5"/>
        <v>631</v>
      </c>
      <c r="I44" s="14" t="s">
        <v>146</v>
      </c>
      <c r="J44" s="15" t="s">
        <v>147</v>
      </c>
      <c r="K44" s="14">
        <v>631</v>
      </c>
      <c r="L44" s="14" t="s">
        <v>76</v>
      </c>
      <c r="M44" s="15" t="s">
        <v>65</v>
      </c>
      <c r="N44" s="15"/>
      <c r="O44" s="16" t="s">
        <v>128</v>
      </c>
      <c r="P44" s="16" t="s">
        <v>129</v>
      </c>
    </row>
    <row r="45" spans="1:16" ht="12.75" customHeight="1" thickBot="1">
      <c r="A45" s="4" t="str">
        <f t="shared" si="0"/>
        <v> AN 264.105 </v>
      </c>
      <c r="B45" s="2" t="str">
        <f t="shared" si="1"/>
        <v>I</v>
      </c>
      <c r="C45" s="4">
        <f t="shared" si="2"/>
        <v>28566.1</v>
      </c>
      <c r="D45" s="3" t="str">
        <f t="shared" si="3"/>
        <v>vis</v>
      </c>
      <c r="E45" s="13">
        <f>VLOOKUP(C45,Active!C$21:E$972,3,FALSE)</f>
        <v>634.01216395588222</v>
      </c>
      <c r="F45" s="2" t="s">
        <v>58</v>
      </c>
      <c r="G45" s="3" t="str">
        <f t="shared" si="4"/>
        <v>28566.100</v>
      </c>
      <c r="H45" s="4">
        <f t="shared" si="5"/>
        <v>634</v>
      </c>
      <c r="I45" s="14" t="s">
        <v>148</v>
      </c>
      <c r="J45" s="15" t="s">
        <v>149</v>
      </c>
      <c r="K45" s="14">
        <v>634</v>
      </c>
      <c r="L45" s="14" t="s">
        <v>150</v>
      </c>
      <c r="M45" s="15" t="s">
        <v>65</v>
      </c>
      <c r="N45" s="15"/>
      <c r="O45" s="16" t="s">
        <v>128</v>
      </c>
      <c r="P45" s="16" t="s">
        <v>129</v>
      </c>
    </row>
    <row r="46" spans="1:16" ht="12.75" customHeight="1" thickBot="1">
      <c r="A46" s="4" t="str">
        <f t="shared" si="0"/>
        <v> AN 264.105 </v>
      </c>
      <c r="B46" s="2" t="str">
        <f t="shared" si="1"/>
        <v>I</v>
      </c>
      <c r="C46" s="4">
        <f t="shared" si="2"/>
        <v>28573.474999999999</v>
      </c>
      <c r="D46" s="3" t="str">
        <f t="shared" si="3"/>
        <v>vis</v>
      </c>
      <c r="E46" s="13">
        <f>VLOOKUP(C46,Active!C$21:E$972,3,FALSE)</f>
        <v>635.00237516424056</v>
      </c>
      <c r="F46" s="2" t="s">
        <v>58</v>
      </c>
      <c r="G46" s="3" t="str">
        <f t="shared" si="4"/>
        <v>28573.475</v>
      </c>
      <c r="H46" s="4">
        <f t="shared" si="5"/>
        <v>635</v>
      </c>
      <c r="I46" s="14" t="s">
        <v>151</v>
      </c>
      <c r="J46" s="15" t="s">
        <v>152</v>
      </c>
      <c r="K46" s="14">
        <v>635</v>
      </c>
      <c r="L46" s="14" t="s">
        <v>87</v>
      </c>
      <c r="M46" s="15" t="s">
        <v>65</v>
      </c>
      <c r="N46" s="15"/>
      <c r="O46" s="16" t="s">
        <v>128</v>
      </c>
      <c r="P46" s="16" t="s">
        <v>129</v>
      </c>
    </row>
    <row r="47" spans="1:16" ht="12.75" customHeight="1" thickBot="1">
      <c r="A47" s="4" t="str">
        <f t="shared" si="0"/>
        <v> HA 113.74 </v>
      </c>
      <c r="B47" s="2" t="str">
        <f t="shared" si="1"/>
        <v>I</v>
      </c>
      <c r="C47" s="4">
        <f t="shared" si="2"/>
        <v>30979.167000000001</v>
      </c>
      <c r="D47" s="3" t="str">
        <f t="shared" si="3"/>
        <v>vis</v>
      </c>
      <c r="E47" s="13">
        <f>VLOOKUP(C47,Active!C$21:E$972,3,FALSE)</f>
        <v>958.00484055518439</v>
      </c>
      <c r="F47" s="2" t="s">
        <v>58</v>
      </c>
      <c r="G47" s="3" t="str">
        <f t="shared" si="4"/>
        <v>30979.167</v>
      </c>
      <c r="H47" s="4">
        <f t="shared" si="5"/>
        <v>958</v>
      </c>
      <c r="I47" s="14" t="s">
        <v>153</v>
      </c>
      <c r="J47" s="15" t="s">
        <v>154</v>
      </c>
      <c r="K47" s="14">
        <v>958</v>
      </c>
      <c r="L47" s="14" t="s">
        <v>155</v>
      </c>
      <c r="M47" s="15" t="s">
        <v>61</v>
      </c>
      <c r="N47" s="15"/>
      <c r="O47" s="16" t="s">
        <v>156</v>
      </c>
      <c r="P47" s="16" t="s">
        <v>157</v>
      </c>
    </row>
    <row r="48" spans="1:16" ht="12.75" customHeight="1" thickBot="1">
      <c r="A48" s="4" t="str">
        <f t="shared" si="0"/>
        <v> AAC 4.114 </v>
      </c>
      <c r="B48" s="2" t="str">
        <f t="shared" si="1"/>
        <v>I</v>
      </c>
      <c r="C48" s="4">
        <f t="shared" si="2"/>
        <v>32617.659</v>
      </c>
      <c r="D48" s="3" t="str">
        <f t="shared" si="3"/>
        <v>vis</v>
      </c>
      <c r="E48" s="13">
        <f>VLOOKUP(C48,Active!C$21:E$972,3,FALSE)</f>
        <v>1177.9984870915396</v>
      </c>
      <c r="F48" s="2" t="s">
        <v>58</v>
      </c>
      <c r="G48" s="3" t="str">
        <f t="shared" si="4"/>
        <v>32617.659</v>
      </c>
      <c r="H48" s="4">
        <f t="shared" si="5"/>
        <v>1178</v>
      </c>
      <c r="I48" s="14" t="s">
        <v>158</v>
      </c>
      <c r="J48" s="15" t="s">
        <v>159</v>
      </c>
      <c r="K48" s="14">
        <v>1178</v>
      </c>
      <c r="L48" s="14" t="s">
        <v>160</v>
      </c>
      <c r="M48" s="15" t="s">
        <v>65</v>
      </c>
      <c r="N48" s="15"/>
      <c r="O48" s="16" t="s">
        <v>161</v>
      </c>
      <c r="P48" s="16" t="s">
        <v>162</v>
      </c>
    </row>
    <row r="49" spans="1:16" ht="12.75" customHeight="1" thickBot="1">
      <c r="A49" s="4" t="str">
        <f t="shared" si="0"/>
        <v> AAC 5.191 </v>
      </c>
      <c r="B49" s="2" t="str">
        <f t="shared" si="1"/>
        <v>I</v>
      </c>
      <c r="C49" s="4">
        <f t="shared" si="2"/>
        <v>34457.309000000001</v>
      </c>
      <c r="D49" s="3" t="str">
        <f t="shared" si="3"/>
        <v>vis</v>
      </c>
      <c r="E49" s="13">
        <f>VLOOKUP(C49,Active!C$21:E$972,3,FALSE)</f>
        <v>1425.0007988822631</v>
      </c>
      <c r="F49" s="2" t="s">
        <v>58</v>
      </c>
      <c r="G49" s="3" t="str">
        <f t="shared" si="4"/>
        <v>34457.309</v>
      </c>
      <c r="H49" s="4">
        <f t="shared" si="5"/>
        <v>1425</v>
      </c>
      <c r="I49" s="14" t="s">
        <v>163</v>
      </c>
      <c r="J49" s="15" t="s">
        <v>164</v>
      </c>
      <c r="K49" s="14">
        <v>1425</v>
      </c>
      <c r="L49" s="14" t="s">
        <v>165</v>
      </c>
      <c r="M49" s="15" t="s">
        <v>65</v>
      </c>
      <c r="N49" s="15"/>
      <c r="O49" s="16" t="s">
        <v>161</v>
      </c>
      <c r="P49" s="16" t="s">
        <v>166</v>
      </c>
    </row>
    <row r="50" spans="1:16" ht="12.75" customHeight="1" thickBot="1">
      <c r="A50" s="4" t="str">
        <f t="shared" si="0"/>
        <v> AA 8.191 </v>
      </c>
      <c r="B50" s="2" t="str">
        <f t="shared" si="1"/>
        <v>I</v>
      </c>
      <c r="C50" s="4">
        <f t="shared" si="2"/>
        <v>35924.553999999996</v>
      </c>
      <c r="D50" s="3" t="str">
        <f t="shared" si="3"/>
        <v>vis</v>
      </c>
      <c r="E50" s="13">
        <f>VLOOKUP(C50,Active!C$21:E$972,3,FALSE)</f>
        <v>1622.0018082934985</v>
      </c>
      <c r="F50" s="2" t="s">
        <v>58</v>
      </c>
      <c r="G50" s="3" t="str">
        <f t="shared" si="4"/>
        <v>35924.554</v>
      </c>
      <c r="H50" s="4">
        <f t="shared" si="5"/>
        <v>1622</v>
      </c>
      <c r="I50" s="14" t="s">
        <v>167</v>
      </c>
      <c r="J50" s="15" t="s">
        <v>168</v>
      </c>
      <c r="K50" s="14">
        <v>1622</v>
      </c>
      <c r="L50" s="14" t="s">
        <v>169</v>
      </c>
      <c r="M50" s="15" t="s">
        <v>65</v>
      </c>
      <c r="N50" s="15"/>
      <c r="O50" s="16" t="s">
        <v>161</v>
      </c>
      <c r="P50" s="16" t="s">
        <v>170</v>
      </c>
    </row>
    <row r="51" spans="1:16" ht="12.75" customHeight="1" thickBot="1">
      <c r="A51" s="4" t="str">
        <f t="shared" si="0"/>
        <v> MVS 2.124 </v>
      </c>
      <c r="B51" s="2" t="str">
        <f t="shared" si="1"/>
        <v>I</v>
      </c>
      <c r="C51" s="4">
        <f t="shared" si="2"/>
        <v>36289.455999999998</v>
      </c>
      <c r="D51" s="3" t="str">
        <f t="shared" si="3"/>
        <v>vis</v>
      </c>
      <c r="E51" s="13">
        <f>VLOOKUP(C51,Active!C$21:E$972,3,FALSE)</f>
        <v>1670.9957134260285</v>
      </c>
      <c r="F51" s="2" t="s">
        <v>58</v>
      </c>
      <c r="G51" s="3" t="str">
        <f t="shared" si="4"/>
        <v>36289.456</v>
      </c>
      <c r="H51" s="4">
        <f t="shared" si="5"/>
        <v>1671</v>
      </c>
      <c r="I51" s="14" t="s">
        <v>171</v>
      </c>
      <c r="J51" s="15" t="s">
        <v>172</v>
      </c>
      <c r="K51" s="14">
        <v>1671</v>
      </c>
      <c r="L51" s="14" t="s">
        <v>173</v>
      </c>
      <c r="M51" s="15" t="s">
        <v>71</v>
      </c>
      <c r="N51" s="15"/>
      <c r="O51" s="16" t="s">
        <v>174</v>
      </c>
      <c r="P51" s="16" t="s">
        <v>175</v>
      </c>
    </row>
    <row r="52" spans="1:16" ht="12.75" customHeight="1" thickBot="1">
      <c r="A52" s="4" t="str">
        <f t="shared" si="0"/>
        <v> MVS 2.124 </v>
      </c>
      <c r="B52" s="2" t="str">
        <f t="shared" si="1"/>
        <v>I</v>
      </c>
      <c r="C52" s="4">
        <f t="shared" si="2"/>
        <v>36684.392</v>
      </c>
      <c r="D52" s="3" t="str">
        <f t="shared" si="3"/>
        <v>vis</v>
      </c>
      <c r="E52" s="13">
        <f>VLOOKUP(C52,Active!C$21:E$972,3,FALSE)</f>
        <v>1724.0221613967738</v>
      </c>
      <c r="F52" s="2" t="s">
        <v>58</v>
      </c>
      <c r="G52" s="3" t="str">
        <f t="shared" si="4"/>
        <v>36684.392</v>
      </c>
      <c r="H52" s="4">
        <f t="shared" si="5"/>
        <v>1724</v>
      </c>
      <c r="I52" s="14" t="s">
        <v>176</v>
      </c>
      <c r="J52" s="15" t="s">
        <v>177</v>
      </c>
      <c r="K52" s="14">
        <v>1724</v>
      </c>
      <c r="L52" s="14" t="s">
        <v>178</v>
      </c>
      <c r="M52" s="15" t="s">
        <v>71</v>
      </c>
      <c r="N52" s="15"/>
      <c r="O52" s="16" t="s">
        <v>174</v>
      </c>
      <c r="P52" s="16" t="s">
        <v>175</v>
      </c>
    </row>
    <row r="53" spans="1:16" ht="12.75" customHeight="1" thickBot="1">
      <c r="A53" s="4" t="str">
        <f t="shared" si="0"/>
        <v> MVS 2.124 </v>
      </c>
      <c r="B53" s="2" t="str">
        <f t="shared" si="1"/>
        <v>I</v>
      </c>
      <c r="C53" s="4">
        <f t="shared" si="2"/>
        <v>37399.400999999998</v>
      </c>
      <c r="D53" s="3" t="str">
        <f t="shared" si="3"/>
        <v>vis</v>
      </c>
      <c r="E53" s="13">
        <f>VLOOKUP(C53,Active!C$21:E$972,3,FALSE)</f>
        <v>1820.0235072784214</v>
      </c>
      <c r="F53" s="2" t="s">
        <v>58</v>
      </c>
      <c r="G53" s="3" t="str">
        <f t="shared" si="4"/>
        <v>37399.401</v>
      </c>
      <c r="H53" s="4">
        <f t="shared" si="5"/>
        <v>1820</v>
      </c>
      <c r="I53" s="14" t="s">
        <v>179</v>
      </c>
      <c r="J53" s="15" t="s">
        <v>180</v>
      </c>
      <c r="K53" s="14">
        <v>1820</v>
      </c>
      <c r="L53" s="14" t="s">
        <v>181</v>
      </c>
      <c r="M53" s="15" t="s">
        <v>71</v>
      </c>
      <c r="N53" s="15"/>
      <c r="O53" s="16" t="s">
        <v>174</v>
      </c>
      <c r="P53" s="16" t="s">
        <v>175</v>
      </c>
    </row>
    <row r="54" spans="1:16" ht="12.75" customHeight="1" thickBot="1">
      <c r="A54" s="4" t="str">
        <f t="shared" si="0"/>
        <v> VSSC 60.21 </v>
      </c>
      <c r="B54" s="2" t="str">
        <f t="shared" si="1"/>
        <v>I</v>
      </c>
      <c r="C54" s="4">
        <f t="shared" si="2"/>
        <v>45033.321000000004</v>
      </c>
      <c r="D54" s="3" t="str">
        <f t="shared" si="3"/>
        <v>vis</v>
      </c>
      <c r="E54" s="13">
        <f>VLOOKUP(C54,Active!C$21:E$972,3,FALSE)</f>
        <v>2844.9988493410101</v>
      </c>
      <c r="F54" s="2" t="s">
        <v>58</v>
      </c>
      <c r="G54" s="3" t="str">
        <f t="shared" si="4"/>
        <v>45033.321</v>
      </c>
      <c r="H54" s="4">
        <f t="shared" si="5"/>
        <v>2845</v>
      </c>
      <c r="I54" s="14" t="s">
        <v>182</v>
      </c>
      <c r="J54" s="15" t="s">
        <v>183</v>
      </c>
      <c r="K54" s="14">
        <v>2845</v>
      </c>
      <c r="L54" s="14" t="s">
        <v>184</v>
      </c>
      <c r="M54" s="15" t="s">
        <v>65</v>
      </c>
      <c r="N54" s="15"/>
      <c r="O54" s="16" t="s">
        <v>185</v>
      </c>
      <c r="P54" s="16" t="s">
        <v>186</v>
      </c>
    </row>
    <row r="55" spans="1:16" ht="12.75" customHeight="1" thickBot="1">
      <c r="A55" s="4" t="str">
        <f t="shared" si="0"/>
        <v>VSB 48 </v>
      </c>
      <c r="B55" s="2" t="str">
        <f t="shared" si="1"/>
        <v>I</v>
      </c>
      <c r="C55" s="4">
        <f t="shared" si="2"/>
        <v>54827.321199999998</v>
      </c>
      <c r="D55" s="3" t="str">
        <f t="shared" si="3"/>
        <v>vis</v>
      </c>
      <c r="E55" s="13">
        <f>VLOOKUP(C55,Active!C$21:E$972,3,FALSE)</f>
        <v>4159.9993608941895</v>
      </c>
      <c r="F55" s="2" t="s">
        <v>58</v>
      </c>
      <c r="G55" s="3" t="str">
        <f t="shared" si="4"/>
        <v>54827.3212</v>
      </c>
      <c r="H55" s="4">
        <f t="shared" si="5"/>
        <v>4160</v>
      </c>
      <c r="I55" s="14" t="s">
        <v>216</v>
      </c>
      <c r="J55" s="15" t="s">
        <v>217</v>
      </c>
      <c r="K55" s="14" t="s">
        <v>218</v>
      </c>
      <c r="L55" s="14" t="s">
        <v>219</v>
      </c>
      <c r="M55" s="15" t="s">
        <v>206</v>
      </c>
      <c r="N55" s="15" t="s">
        <v>58</v>
      </c>
      <c r="O55" s="16" t="s">
        <v>220</v>
      </c>
      <c r="P55" s="17" t="s">
        <v>221</v>
      </c>
    </row>
    <row r="56" spans="1:16" ht="12.75" customHeight="1" thickBot="1">
      <c r="A56" s="4" t="str">
        <f t="shared" si="0"/>
        <v>VSB 56 </v>
      </c>
      <c r="B56" s="2" t="str">
        <f t="shared" si="1"/>
        <v>I</v>
      </c>
      <c r="C56" s="4">
        <f t="shared" si="2"/>
        <v>56354.142599999999</v>
      </c>
      <c r="D56" s="3" t="str">
        <f t="shared" si="3"/>
        <v>vis</v>
      </c>
      <c r="E56" s="13">
        <f>VLOOKUP(C56,Active!C$21:E$972,3,FALSE)</f>
        <v>4364.9994508523605</v>
      </c>
      <c r="F56" s="2" t="s">
        <v>58</v>
      </c>
      <c r="G56" s="3" t="str">
        <f t="shared" si="4"/>
        <v>56354.1426</v>
      </c>
      <c r="H56" s="4">
        <f t="shared" si="5"/>
        <v>4365</v>
      </c>
      <c r="I56" s="14" t="s">
        <v>222</v>
      </c>
      <c r="J56" s="15" t="s">
        <v>223</v>
      </c>
      <c r="K56" s="14" t="s">
        <v>224</v>
      </c>
      <c r="L56" s="14" t="s">
        <v>225</v>
      </c>
      <c r="M56" s="15" t="s">
        <v>206</v>
      </c>
      <c r="N56" s="15" t="s">
        <v>226</v>
      </c>
      <c r="O56" s="16" t="s">
        <v>227</v>
      </c>
      <c r="P56" s="17" t="s">
        <v>228</v>
      </c>
    </row>
    <row r="57" spans="1:16">
      <c r="B57" s="2"/>
      <c r="E57" s="13"/>
      <c r="F57" s="2"/>
    </row>
    <row r="58" spans="1:16">
      <c r="B58" s="2"/>
      <c r="E58" s="13"/>
      <c r="F58" s="2"/>
    </row>
    <row r="59" spans="1:16">
      <c r="B59" s="2"/>
      <c r="E59" s="13"/>
      <c r="F59" s="2"/>
    </row>
    <row r="60" spans="1:16">
      <c r="B60" s="2"/>
      <c r="E60" s="13"/>
      <c r="F60" s="2"/>
    </row>
    <row r="61" spans="1:16">
      <c r="B61" s="2"/>
      <c r="E61" s="13"/>
      <c r="F61" s="2"/>
    </row>
    <row r="62" spans="1:16">
      <c r="B62" s="2"/>
      <c r="E62" s="13"/>
      <c r="F62" s="2"/>
    </row>
    <row r="63" spans="1:16">
      <c r="B63" s="2"/>
      <c r="E63" s="13"/>
      <c r="F63" s="2"/>
    </row>
    <row r="64" spans="1:16">
      <c r="B64" s="2"/>
      <c r="E64" s="13"/>
      <c r="F64" s="2"/>
    </row>
    <row r="65" spans="2:6">
      <c r="B65" s="2"/>
      <c r="E65" s="13"/>
      <c r="F65" s="2"/>
    </row>
    <row r="66" spans="2:6">
      <c r="B66" s="2"/>
      <c r="E66" s="13"/>
      <c r="F66" s="2"/>
    </row>
    <row r="67" spans="2:6">
      <c r="B67" s="2"/>
      <c r="E67" s="13"/>
      <c r="F67" s="2"/>
    </row>
    <row r="68" spans="2:6">
      <c r="B68" s="2"/>
      <c r="E68" s="13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</sheetData>
  <phoneticPr fontId="7" type="noConversion"/>
  <hyperlinks>
    <hyperlink ref="P16" r:id="rId1" display="http://www.bav-astro.de/sfs/BAVM_link.php?BAVMnr=178" xr:uid="{00000000-0004-0000-0100-000000000000}"/>
    <hyperlink ref="P17" r:id="rId2" display="http://www.bav-astro.de/sfs/BAVM_link.php?BAVMnr=178" xr:uid="{00000000-0004-0000-0100-000001000000}"/>
    <hyperlink ref="P55" r:id="rId3" display="http://vsolj.cetus-net.org/no48.pdf" xr:uid="{00000000-0004-0000-0100-000002000000}"/>
    <hyperlink ref="P56" r:id="rId4" display="http://vsolj.cetus-net.org/vsoljno56.pdf" xr:uid="{00000000-0004-0000-0100-000003000000}"/>
    <hyperlink ref="P18" r:id="rId5" display="http://www.bav-astro.de/sfs/BAVM_link.php?BAVMnr=238" xr:uid="{00000000-0004-0000-0100-000004000000}"/>
    <hyperlink ref="P11" r:id="rId6" display="http://www.bav-astro.de/sfs/BAVM_link.php?BAVMnr=241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2024-02-17T06:38:53Z</dcterms:modified>
</cp:coreProperties>
</file>