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3696361-53CB-47BA-BD90-498B66AEC1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BAV" sheetId="4" r:id="rId2"/>
    <sheet name="B" sheetId="3" r:id="rId3"/>
  </sheets>
  <calcPr calcId="181029"/>
</workbook>
</file>

<file path=xl/calcChain.xml><?xml version="1.0" encoding="utf-8"?>
<calcChain xmlns="http://schemas.openxmlformats.org/spreadsheetml/2006/main">
  <c r="E112" i="2" l="1"/>
  <c r="F112" i="2" s="1"/>
  <c r="G112" i="2" s="1"/>
  <c r="K112" i="2" s="1"/>
  <c r="Q112" i="2"/>
  <c r="E113" i="2"/>
  <c r="F113" i="2"/>
  <c r="G113" i="2" s="1"/>
  <c r="K113" i="2" s="1"/>
  <c r="Q113" i="2"/>
  <c r="Q111" i="2"/>
  <c r="Q110" i="2"/>
  <c r="Q107" i="2"/>
  <c r="E108" i="2"/>
  <c r="F108" i="2" s="1"/>
  <c r="G108" i="2" s="1"/>
  <c r="K108" i="2" s="1"/>
  <c r="Q108" i="2"/>
  <c r="Q109" i="2"/>
  <c r="Q104" i="2"/>
  <c r="Q105" i="2"/>
  <c r="Q106" i="2"/>
  <c r="D9" i="2"/>
  <c r="C9" i="2"/>
  <c r="Q21" i="2"/>
  <c r="Q22" i="2"/>
  <c r="Q23" i="2"/>
  <c r="Q24" i="2"/>
  <c r="Q25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5" i="2"/>
  <c r="Q56" i="2"/>
  <c r="Q62" i="2"/>
  <c r="Q63" i="2"/>
  <c r="Q64" i="2"/>
  <c r="Q77" i="2"/>
  <c r="Q78" i="2"/>
  <c r="Q79" i="2"/>
  <c r="Q84" i="2"/>
  <c r="Q90" i="2"/>
  <c r="Q91" i="2"/>
  <c r="Q94" i="2"/>
  <c r="Q96" i="2"/>
  <c r="Q98" i="2"/>
  <c r="Q101" i="2"/>
  <c r="Q102" i="2"/>
  <c r="G90" i="4"/>
  <c r="C90" i="4"/>
  <c r="G89" i="4"/>
  <c r="C89" i="4"/>
  <c r="G88" i="4"/>
  <c r="C88" i="4"/>
  <c r="G87" i="4"/>
  <c r="C87" i="4"/>
  <c r="G86" i="4"/>
  <c r="C86" i="4"/>
  <c r="G85" i="4"/>
  <c r="C85" i="4"/>
  <c r="G84" i="4"/>
  <c r="C84" i="4"/>
  <c r="G83" i="4"/>
  <c r="C83" i="4"/>
  <c r="G82" i="4"/>
  <c r="C82" i="4"/>
  <c r="G81" i="4"/>
  <c r="C81" i="4"/>
  <c r="G80" i="4"/>
  <c r="C80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4" i="4"/>
  <c r="C64" i="4"/>
  <c r="G63" i="4"/>
  <c r="C63" i="4"/>
  <c r="G62" i="4"/>
  <c r="C62" i="4"/>
  <c r="G61" i="4"/>
  <c r="C61" i="4"/>
  <c r="G60" i="4"/>
  <c r="C60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G52" i="4"/>
  <c r="C52" i="4"/>
  <c r="G51" i="4"/>
  <c r="C51" i="4"/>
  <c r="G50" i="4"/>
  <c r="C50" i="4"/>
  <c r="G49" i="4"/>
  <c r="C49" i="4"/>
  <c r="G48" i="4"/>
  <c r="C48" i="4"/>
  <c r="G47" i="4"/>
  <c r="C47" i="4"/>
  <c r="G46" i="4"/>
  <c r="C46" i="4"/>
  <c r="G45" i="4"/>
  <c r="C45" i="4"/>
  <c r="G44" i="4"/>
  <c r="C44" i="4"/>
  <c r="G43" i="4"/>
  <c r="C43" i="4"/>
  <c r="G42" i="4"/>
  <c r="C42" i="4"/>
  <c r="G41" i="4"/>
  <c r="C41" i="4"/>
  <c r="G40" i="4"/>
  <c r="C40" i="4"/>
  <c r="G39" i="4"/>
  <c r="C39" i="4"/>
  <c r="G38" i="4"/>
  <c r="C38" i="4"/>
  <c r="G37" i="4"/>
  <c r="C37" i="4"/>
  <c r="G36" i="4"/>
  <c r="C36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7" i="4"/>
  <c r="C17" i="4"/>
  <c r="G16" i="4"/>
  <c r="C16" i="4"/>
  <c r="G15" i="4"/>
  <c r="C15" i="4"/>
  <c r="G14" i="4"/>
  <c r="C14" i="4"/>
  <c r="G13" i="4"/>
  <c r="C13" i="4"/>
  <c r="G12" i="4"/>
  <c r="C12" i="4"/>
  <c r="G11" i="4"/>
  <c r="C11" i="4"/>
  <c r="H43" i="4"/>
  <c r="B43" i="4"/>
  <c r="D43" i="4"/>
  <c r="A43" i="4"/>
  <c r="H90" i="4"/>
  <c r="B90" i="4"/>
  <c r="D90" i="4"/>
  <c r="A90" i="4"/>
  <c r="H89" i="4"/>
  <c r="B89" i="4"/>
  <c r="D89" i="4"/>
  <c r="A89" i="4"/>
  <c r="H42" i="4"/>
  <c r="B42" i="4"/>
  <c r="D42" i="4"/>
  <c r="A42" i="4"/>
  <c r="H88" i="4"/>
  <c r="B88" i="4"/>
  <c r="D88" i="4"/>
  <c r="A88" i="4"/>
  <c r="H41" i="4"/>
  <c r="B41" i="4"/>
  <c r="D41" i="4"/>
  <c r="A41" i="4"/>
  <c r="H87" i="4"/>
  <c r="B87" i="4"/>
  <c r="D87" i="4"/>
  <c r="A87" i="4"/>
  <c r="H40" i="4"/>
  <c r="B40" i="4"/>
  <c r="D40" i="4"/>
  <c r="A40" i="4"/>
  <c r="H86" i="4"/>
  <c r="B86" i="4"/>
  <c r="F86" i="4"/>
  <c r="D86" i="4"/>
  <c r="A86" i="4"/>
  <c r="H39" i="4"/>
  <c r="B39" i="4"/>
  <c r="F39" i="4"/>
  <c r="D39" i="4"/>
  <c r="A39" i="4"/>
  <c r="H38" i="4"/>
  <c r="F38" i="4"/>
  <c r="D38" i="4"/>
  <c r="B38" i="4"/>
  <c r="A38" i="4"/>
  <c r="H85" i="4"/>
  <c r="B85" i="4"/>
  <c r="F85" i="4"/>
  <c r="D85" i="4"/>
  <c r="A85" i="4"/>
  <c r="H84" i="4"/>
  <c r="B84" i="4"/>
  <c r="F84" i="4"/>
  <c r="D84" i="4"/>
  <c r="A84" i="4"/>
  <c r="H37" i="4"/>
  <c r="B37" i="4"/>
  <c r="D37" i="4"/>
  <c r="A37" i="4"/>
  <c r="H36" i="4"/>
  <c r="B36" i="4"/>
  <c r="D36" i="4"/>
  <c r="A36" i="4"/>
  <c r="H35" i="4"/>
  <c r="B35" i="4"/>
  <c r="D35" i="4"/>
  <c r="A35" i="4"/>
  <c r="H34" i="4"/>
  <c r="B34" i="4"/>
  <c r="D34" i="4"/>
  <c r="A34" i="4"/>
  <c r="H33" i="4"/>
  <c r="B33" i="4"/>
  <c r="D33" i="4"/>
  <c r="A33" i="4"/>
  <c r="H83" i="4"/>
  <c r="B83" i="4"/>
  <c r="D83" i="4"/>
  <c r="A83" i="4"/>
  <c r="H32" i="4"/>
  <c r="B32" i="4"/>
  <c r="D32" i="4"/>
  <c r="A32" i="4"/>
  <c r="H31" i="4"/>
  <c r="B31" i="4"/>
  <c r="D31" i="4"/>
  <c r="A31" i="4"/>
  <c r="H30" i="4"/>
  <c r="B30" i="4"/>
  <c r="D30" i="4"/>
  <c r="A30" i="4"/>
  <c r="H29" i="4"/>
  <c r="B29" i="4"/>
  <c r="D29" i="4"/>
  <c r="A29" i="4"/>
  <c r="H82" i="4"/>
  <c r="B82" i="4"/>
  <c r="D82" i="4"/>
  <c r="A82" i="4"/>
  <c r="H81" i="4"/>
  <c r="B81" i="4"/>
  <c r="D81" i="4"/>
  <c r="A81" i="4"/>
  <c r="H80" i="4"/>
  <c r="B80" i="4"/>
  <c r="D80" i="4"/>
  <c r="A80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79" i="4"/>
  <c r="B79" i="4"/>
  <c r="D79" i="4"/>
  <c r="A79" i="4"/>
  <c r="H78" i="4"/>
  <c r="B78" i="4"/>
  <c r="D78" i="4"/>
  <c r="A78" i="4"/>
  <c r="H77" i="4"/>
  <c r="B77" i="4"/>
  <c r="D77" i="4"/>
  <c r="A7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76" i="4"/>
  <c r="B76" i="4"/>
  <c r="D76" i="4"/>
  <c r="A76" i="4"/>
  <c r="H75" i="4"/>
  <c r="B75" i="4"/>
  <c r="D75" i="4"/>
  <c r="A75" i="4"/>
  <c r="H12" i="4"/>
  <c r="B12" i="4"/>
  <c r="D12" i="4"/>
  <c r="A12" i="4"/>
  <c r="H11" i="4"/>
  <c r="B11" i="4"/>
  <c r="D11" i="4"/>
  <c r="A11" i="4"/>
  <c r="H74" i="4"/>
  <c r="B74" i="4"/>
  <c r="D74" i="4"/>
  <c r="A74" i="4"/>
  <c r="H73" i="4"/>
  <c r="B73" i="4"/>
  <c r="D73" i="4"/>
  <c r="A73" i="4"/>
  <c r="H72" i="4"/>
  <c r="B72" i="4"/>
  <c r="D72" i="4"/>
  <c r="A72" i="4"/>
  <c r="H71" i="4"/>
  <c r="B71" i="4"/>
  <c r="D71" i="4"/>
  <c r="A71" i="4"/>
  <c r="H70" i="4"/>
  <c r="B70" i="4"/>
  <c r="D70" i="4"/>
  <c r="A70" i="4"/>
  <c r="H69" i="4"/>
  <c r="B69" i="4"/>
  <c r="D69" i="4"/>
  <c r="A69" i="4"/>
  <c r="H68" i="4"/>
  <c r="B68" i="4"/>
  <c r="D68" i="4"/>
  <c r="A68" i="4"/>
  <c r="H67" i="4"/>
  <c r="B67" i="4"/>
  <c r="D67" i="4"/>
  <c r="A67" i="4"/>
  <c r="H66" i="4"/>
  <c r="B66" i="4"/>
  <c r="D66" i="4"/>
  <c r="A66" i="4"/>
  <c r="H65" i="4"/>
  <c r="B65" i="4"/>
  <c r="D65" i="4"/>
  <c r="A65" i="4"/>
  <c r="H64" i="4"/>
  <c r="B64" i="4"/>
  <c r="D64" i="4"/>
  <c r="A64" i="4"/>
  <c r="H63" i="4"/>
  <c r="B63" i="4"/>
  <c r="D63" i="4"/>
  <c r="A63" i="4"/>
  <c r="H62" i="4"/>
  <c r="B62" i="4"/>
  <c r="D62" i="4"/>
  <c r="A62" i="4"/>
  <c r="H61" i="4"/>
  <c r="B61" i="4"/>
  <c r="D61" i="4"/>
  <c r="A61" i="4"/>
  <c r="H60" i="4"/>
  <c r="B60" i="4"/>
  <c r="D60" i="4"/>
  <c r="A60" i="4"/>
  <c r="H59" i="4"/>
  <c r="B59" i="4"/>
  <c r="D59" i="4"/>
  <c r="A59" i="4"/>
  <c r="H58" i="4"/>
  <c r="B58" i="4"/>
  <c r="D58" i="4"/>
  <c r="A58" i="4"/>
  <c r="H57" i="4"/>
  <c r="B57" i="4"/>
  <c r="D57" i="4"/>
  <c r="A57" i="4"/>
  <c r="H56" i="4"/>
  <c r="B56" i="4"/>
  <c r="D56" i="4"/>
  <c r="A56" i="4"/>
  <c r="H55" i="4"/>
  <c r="B55" i="4"/>
  <c r="D55" i="4"/>
  <c r="A55" i="4"/>
  <c r="H54" i="4"/>
  <c r="B54" i="4"/>
  <c r="D54" i="4"/>
  <c r="A54" i="4"/>
  <c r="H53" i="4"/>
  <c r="B53" i="4"/>
  <c r="D53" i="4"/>
  <c r="A53" i="4"/>
  <c r="H52" i="4"/>
  <c r="B52" i="4"/>
  <c r="D52" i="4"/>
  <c r="A52" i="4"/>
  <c r="H51" i="4"/>
  <c r="B51" i="4"/>
  <c r="D51" i="4"/>
  <c r="A51" i="4"/>
  <c r="H50" i="4"/>
  <c r="B50" i="4"/>
  <c r="D50" i="4"/>
  <c r="A50" i="4"/>
  <c r="H49" i="4"/>
  <c r="B49" i="4"/>
  <c r="D49" i="4"/>
  <c r="A49" i="4"/>
  <c r="H48" i="4"/>
  <c r="B48" i="4"/>
  <c r="D48" i="4"/>
  <c r="A48" i="4"/>
  <c r="H47" i="4"/>
  <c r="B47" i="4"/>
  <c r="D47" i="4"/>
  <c r="A47" i="4"/>
  <c r="H46" i="4"/>
  <c r="B46" i="4"/>
  <c r="D46" i="4"/>
  <c r="A46" i="4"/>
  <c r="H45" i="4"/>
  <c r="B45" i="4"/>
  <c r="D45" i="4"/>
  <c r="A45" i="4"/>
  <c r="H44" i="4"/>
  <c r="B44" i="4"/>
  <c r="D44" i="4"/>
  <c r="A44" i="4"/>
  <c r="Q103" i="2"/>
  <c r="Q89" i="2"/>
  <c r="Q93" i="2"/>
  <c r="Q100" i="2"/>
  <c r="Q70" i="2"/>
  <c r="Q99" i="2"/>
  <c r="Q97" i="2"/>
  <c r="Q95" i="2"/>
  <c r="F16" i="2"/>
  <c r="C17" i="2"/>
  <c r="Q92" i="2"/>
  <c r="Q80" i="2"/>
  <c r="Q81" i="2"/>
  <c r="Q82" i="2"/>
  <c r="Q83" i="2"/>
  <c r="Q85" i="2"/>
  <c r="Q86" i="2"/>
  <c r="Q87" i="2"/>
  <c r="Q88" i="2"/>
  <c r="Q66" i="2"/>
  <c r="Q76" i="2"/>
  <c r="C7" i="2"/>
  <c r="C8" i="2"/>
  <c r="E111" i="2" s="1"/>
  <c r="F111" i="2" s="1"/>
  <c r="Q73" i="2"/>
  <c r="Q74" i="2"/>
  <c r="Q75" i="2"/>
  <c r="Q71" i="2"/>
  <c r="Q72" i="2"/>
  <c r="Q68" i="2"/>
  <c r="Q69" i="2"/>
  <c r="C7" i="3"/>
  <c r="E26" i="3"/>
  <c r="F26" i="3"/>
  <c r="C15" i="3"/>
  <c r="C18" i="3"/>
  <c r="H21" i="3"/>
  <c r="Q21" i="3"/>
  <c r="Q22" i="3"/>
  <c r="Q23" i="3"/>
  <c r="Q24" i="3"/>
  <c r="Q25" i="3"/>
  <c r="Q26" i="3"/>
  <c r="Q27" i="3"/>
  <c r="Q28" i="3"/>
  <c r="Q29" i="3"/>
  <c r="Q30" i="3"/>
  <c r="Q26" i="2"/>
  <c r="Q53" i="2"/>
  <c r="Q54" i="2"/>
  <c r="Q57" i="2"/>
  <c r="Q58" i="2"/>
  <c r="Q59" i="2"/>
  <c r="Q60" i="2"/>
  <c r="Q61" i="2"/>
  <c r="Q65" i="2"/>
  <c r="Q67" i="2"/>
  <c r="E40" i="2"/>
  <c r="F40" i="2" s="1"/>
  <c r="G40" i="2" s="1"/>
  <c r="I40" i="2" s="1"/>
  <c r="E31" i="2"/>
  <c r="E53" i="4" s="1"/>
  <c r="E22" i="2"/>
  <c r="F22" i="2" s="1"/>
  <c r="G22" i="2" s="1"/>
  <c r="H22" i="2" s="1"/>
  <c r="E68" i="2"/>
  <c r="E20" i="4" s="1"/>
  <c r="E57" i="2"/>
  <c r="F57" i="2" s="1"/>
  <c r="G57" i="2" s="1"/>
  <c r="I57" i="2" s="1"/>
  <c r="E38" i="2"/>
  <c r="E60" i="4" s="1"/>
  <c r="E48" i="2"/>
  <c r="E70" i="4" s="1"/>
  <c r="E75" i="2"/>
  <c r="F75" i="2" s="1"/>
  <c r="G75" i="2" s="1"/>
  <c r="J75" i="2" s="1"/>
  <c r="E24" i="2"/>
  <c r="E47" i="4" s="1"/>
  <c r="E37" i="2"/>
  <c r="E59" i="4" s="1"/>
  <c r="E104" i="2"/>
  <c r="F104" i="2" s="1"/>
  <c r="G104" i="2" s="1"/>
  <c r="K104" i="2" s="1"/>
  <c r="E86" i="2"/>
  <c r="F86" i="2" s="1"/>
  <c r="G86" i="2" s="1"/>
  <c r="K86" i="2" s="1"/>
  <c r="E46" i="2"/>
  <c r="E68" i="4" s="1"/>
  <c r="E69" i="2"/>
  <c r="F69" i="2" s="1"/>
  <c r="G69" i="2" s="1"/>
  <c r="J69" i="2" s="1"/>
  <c r="E94" i="2"/>
  <c r="E86" i="4" s="1"/>
  <c r="E105" i="2"/>
  <c r="F105" i="2" s="1"/>
  <c r="G105" i="2" s="1"/>
  <c r="K105" i="2" s="1"/>
  <c r="E45" i="2"/>
  <c r="E67" i="4" s="1"/>
  <c r="E21" i="4"/>
  <c r="E25" i="3"/>
  <c r="F25" i="3"/>
  <c r="G25" i="3"/>
  <c r="I25" i="3"/>
  <c r="E21" i="3"/>
  <c r="F21" i="3"/>
  <c r="E27" i="3"/>
  <c r="F27" i="3"/>
  <c r="E29" i="3"/>
  <c r="F29" i="3"/>
  <c r="G29" i="3"/>
  <c r="J29" i="3"/>
  <c r="G22" i="3"/>
  <c r="J22" i="3"/>
  <c r="G27" i="3"/>
  <c r="I27" i="3"/>
  <c r="E28" i="3"/>
  <c r="F28" i="3"/>
  <c r="G28" i="3"/>
  <c r="I28" i="3"/>
  <c r="E30" i="3"/>
  <c r="F30" i="3"/>
  <c r="E24" i="3"/>
  <c r="F24" i="3"/>
  <c r="E22" i="3"/>
  <c r="F22" i="3"/>
  <c r="G30" i="3"/>
  <c r="K30" i="3"/>
  <c r="E23" i="3"/>
  <c r="F23" i="3"/>
  <c r="G23" i="3"/>
  <c r="I23" i="3"/>
  <c r="G24" i="3"/>
  <c r="I24" i="3"/>
  <c r="G26" i="3"/>
  <c r="J26" i="3"/>
  <c r="E44" i="2"/>
  <c r="F44" i="2" s="1"/>
  <c r="G44" i="2" s="1"/>
  <c r="I44" i="2" s="1"/>
  <c r="E65" i="2"/>
  <c r="F65" i="2" s="1"/>
  <c r="G65" i="2" s="1"/>
  <c r="I65" i="2" s="1"/>
  <c r="E85" i="2"/>
  <c r="F85" i="2" s="1"/>
  <c r="G85" i="2" s="1"/>
  <c r="K85" i="2" s="1"/>
  <c r="E66" i="2"/>
  <c r="F66" i="2" s="1"/>
  <c r="G66" i="2" s="1"/>
  <c r="K66" i="2" s="1"/>
  <c r="E34" i="2"/>
  <c r="E47" i="2"/>
  <c r="F47" i="2" s="1"/>
  <c r="G47" i="2" s="1"/>
  <c r="I47" i="2" s="1"/>
  <c r="E32" i="2"/>
  <c r="F32" i="2" s="1"/>
  <c r="G32" i="2" s="1"/>
  <c r="I32" i="2" s="1"/>
  <c r="E100" i="2"/>
  <c r="E42" i="4" s="1"/>
  <c r="E55" i="2"/>
  <c r="E52" i="2"/>
  <c r="E74" i="4" s="1"/>
  <c r="F52" i="2"/>
  <c r="G52" i="2" s="1"/>
  <c r="I52" i="2" s="1"/>
  <c r="E51" i="2"/>
  <c r="E73" i="4" s="1"/>
  <c r="E73" i="2"/>
  <c r="F73" i="2" s="1"/>
  <c r="G73" i="2" s="1"/>
  <c r="K73" i="2" s="1"/>
  <c r="E97" i="2"/>
  <c r="F97" i="2" s="1"/>
  <c r="G97" i="2" s="1"/>
  <c r="J97" i="2" s="1"/>
  <c r="E56" i="2"/>
  <c r="F56" i="2"/>
  <c r="G56" i="2" s="1"/>
  <c r="I56" i="2" s="1"/>
  <c r="E95" i="2"/>
  <c r="F95" i="2" s="1"/>
  <c r="G95" i="2" s="1"/>
  <c r="K95" i="2" s="1"/>
  <c r="E28" i="2"/>
  <c r="F28" i="2" s="1"/>
  <c r="G28" i="2" s="1"/>
  <c r="H28" i="2" s="1"/>
  <c r="E54" i="2"/>
  <c r="F54" i="2" s="1"/>
  <c r="G54" i="2" s="1"/>
  <c r="I54" i="2" s="1"/>
  <c r="E29" i="2"/>
  <c r="E51" i="4" s="1"/>
  <c r="E109" i="2"/>
  <c r="F109" i="2" s="1"/>
  <c r="G109" i="2" s="1"/>
  <c r="K109" i="2" s="1"/>
  <c r="E61" i="2"/>
  <c r="E16" i="4" s="1"/>
  <c r="E25" i="2"/>
  <c r="F25" i="2" s="1"/>
  <c r="G25" i="2" s="1"/>
  <c r="H25" i="2" s="1"/>
  <c r="E70" i="2"/>
  <c r="E22" i="4" s="1"/>
  <c r="E53" i="2"/>
  <c r="F53" i="2" s="1"/>
  <c r="G53" i="2" s="1"/>
  <c r="I53" i="2" s="1"/>
  <c r="E72" i="2"/>
  <c r="E24" i="4" s="1"/>
  <c r="E66" i="4"/>
  <c r="F29" i="2"/>
  <c r="G29" i="2" s="1"/>
  <c r="H29" i="2" s="1"/>
  <c r="F100" i="2"/>
  <c r="G100" i="2" s="1"/>
  <c r="K100" i="2" s="1"/>
  <c r="F55" i="2"/>
  <c r="G55" i="2" s="1"/>
  <c r="I55" i="2" s="1"/>
  <c r="E75" i="4"/>
  <c r="F34" i="2"/>
  <c r="G34" i="2" s="1"/>
  <c r="I34" i="2" s="1"/>
  <c r="E56" i="4"/>
  <c r="E69" i="4"/>
  <c r="C12" i="3"/>
  <c r="C16" i="3"/>
  <c r="D18" i="3"/>
  <c r="C11" i="3"/>
  <c r="E76" i="4"/>
  <c r="F72" i="2"/>
  <c r="G72" i="2" s="1"/>
  <c r="J72" i="2" s="1"/>
  <c r="F61" i="2"/>
  <c r="G61" i="2" s="1"/>
  <c r="I61" i="2" s="1"/>
  <c r="O22" i="3"/>
  <c r="O25" i="3"/>
  <c r="O30" i="3"/>
  <c r="O23" i="3"/>
  <c r="O29" i="3"/>
  <c r="O26" i="3"/>
  <c r="O28" i="3"/>
  <c r="O24" i="3"/>
  <c r="O27" i="3"/>
  <c r="O21" i="3"/>
  <c r="G111" i="2" l="1"/>
  <c r="K111" i="2" s="1"/>
  <c r="E48" i="4"/>
  <c r="F51" i="2"/>
  <c r="G51" i="2" s="1"/>
  <c r="I51" i="2" s="1"/>
  <c r="E77" i="2"/>
  <c r="F77" i="2" s="1"/>
  <c r="G77" i="2" s="1"/>
  <c r="K77" i="2" s="1"/>
  <c r="E83" i="2"/>
  <c r="E63" i="2"/>
  <c r="E78" i="4" s="1"/>
  <c r="E67" i="2"/>
  <c r="E58" i="2"/>
  <c r="E13" i="4" s="1"/>
  <c r="E78" i="2"/>
  <c r="E82" i="2"/>
  <c r="E30" i="2"/>
  <c r="E52" i="4" s="1"/>
  <c r="F38" i="2"/>
  <c r="G38" i="2" s="1"/>
  <c r="I38" i="2" s="1"/>
  <c r="E59" i="2"/>
  <c r="E27" i="2"/>
  <c r="E102" i="2"/>
  <c r="E90" i="4" s="1"/>
  <c r="E64" i="2"/>
  <c r="F17" i="2"/>
  <c r="E40" i="4"/>
  <c r="E33" i="4"/>
  <c r="E89" i="2"/>
  <c r="E49" i="2"/>
  <c r="E98" i="2"/>
  <c r="E27" i="4"/>
  <c r="E42" i="2"/>
  <c r="E76" i="2"/>
  <c r="E39" i="2"/>
  <c r="E61" i="4" s="1"/>
  <c r="E71" i="2"/>
  <c r="E107" i="2"/>
  <c r="F107" i="2" s="1"/>
  <c r="G107" i="2" s="1"/>
  <c r="K107" i="2" s="1"/>
  <c r="E110" i="2"/>
  <c r="F110" i="2" s="1"/>
  <c r="G110" i="2" s="1"/>
  <c r="K110" i="2" s="1"/>
  <c r="E41" i="4"/>
  <c r="E25" i="4"/>
  <c r="E12" i="4"/>
  <c r="E60" i="2"/>
  <c r="E93" i="2"/>
  <c r="E80" i="2"/>
  <c r="E50" i="2"/>
  <c r="F46" i="2"/>
  <c r="G46" i="2" s="1"/>
  <c r="I46" i="2" s="1"/>
  <c r="E26" i="2"/>
  <c r="F26" i="2" s="1"/>
  <c r="G26" i="2" s="1"/>
  <c r="H26" i="2" s="1"/>
  <c r="E79" i="2"/>
  <c r="E33" i="2"/>
  <c r="F33" i="2" s="1"/>
  <c r="G33" i="2" s="1"/>
  <c r="I33" i="2" s="1"/>
  <c r="E62" i="4"/>
  <c r="E84" i="2"/>
  <c r="E81" i="2"/>
  <c r="F81" i="2" s="1"/>
  <c r="G81" i="2" s="1"/>
  <c r="K81" i="2" s="1"/>
  <c r="E43" i="2"/>
  <c r="F43" i="2" s="1"/>
  <c r="G43" i="2" s="1"/>
  <c r="I43" i="2" s="1"/>
  <c r="E87" i="2"/>
  <c r="E11" i="4"/>
  <c r="E35" i="2"/>
  <c r="E90" i="2"/>
  <c r="E74" i="2"/>
  <c r="E92" i="2"/>
  <c r="F92" i="2" s="1"/>
  <c r="G92" i="2" s="1"/>
  <c r="K92" i="2" s="1"/>
  <c r="F24" i="2"/>
  <c r="G24" i="2" s="1"/>
  <c r="H24" i="2" s="1"/>
  <c r="E17" i="4"/>
  <c r="E106" i="2"/>
  <c r="F106" i="2" s="1"/>
  <c r="G106" i="2" s="1"/>
  <c r="K106" i="2" s="1"/>
  <c r="E88" i="2"/>
  <c r="F88" i="2" s="1"/>
  <c r="G88" i="2" s="1"/>
  <c r="K88" i="2" s="1"/>
  <c r="E91" i="2"/>
  <c r="E85" i="4" s="1"/>
  <c r="E99" i="2"/>
  <c r="F99" i="2" s="1"/>
  <c r="G99" i="2" s="1"/>
  <c r="J99" i="2" s="1"/>
  <c r="E62" i="2"/>
  <c r="E77" i="4" s="1"/>
  <c r="E34" i="4"/>
  <c r="E96" i="2"/>
  <c r="F96" i="2" s="1"/>
  <c r="G96" i="2" s="1"/>
  <c r="K96" i="2" s="1"/>
  <c r="E103" i="2"/>
  <c r="E23" i="2"/>
  <c r="E41" i="2"/>
  <c r="F48" i="2"/>
  <c r="G48" i="2" s="1"/>
  <c r="I48" i="2" s="1"/>
  <c r="E101" i="2"/>
  <c r="E21" i="2"/>
  <c r="E44" i="4" s="1"/>
  <c r="E36" i="2"/>
  <c r="E80" i="4"/>
  <c r="F70" i="2"/>
  <c r="G70" i="2" s="1"/>
  <c r="F58" i="2"/>
  <c r="G58" i="2" s="1"/>
  <c r="I58" i="2" s="1"/>
  <c r="F94" i="2"/>
  <c r="G94" i="2" s="1"/>
  <c r="K94" i="2" s="1"/>
  <c r="F31" i="2"/>
  <c r="G31" i="2" s="1"/>
  <c r="I31" i="2" s="1"/>
  <c r="F62" i="2"/>
  <c r="G62" i="2" s="1"/>
  <c r="J62" i="2" s="1"/>
  <c r="E30" i="4"/>
  <c r="E87" i="4"/>
  <c r="F45" i="2"/>
  <c r="G45" i="2" s="1"/>
  <c r="I45" i="2" s="1"/>
  <c r="F91" i="2"/>
  <c r="G91" i="2" s="1"/>
  <c r="K91" i="2" s="1"/>
  <c r="F68" i="2"/>
  <c r="G68" i="2" s="1"/>
  <c r="K68" i="2" s="1"/>
  <c r="E45" i="4"/>
  <c r="F39" i="2"/>
  <c r="G39" i="2" s="1"/>
  <c r="I39" i="2" s="1"/>
  <c r="E18" i="4"/>
  <c r="E54" i="4"/>
  <c r="F37" i="2"/>
  <c r="G37" i="2" s="1"/>
  <c r="I37" i="2" s="1"/>
  <c r="E65" i="4"/>
  <c r="E50" i="4"/>
  <c r="E55" i="4"/>
  <c r="F30" i="2"/>
  <c r="G30" i="2" s="1"/>
  <c r="I30" i="2" s="1"/>
  <c r="E39" i="4" l="1"/>
  <c r="F93" i="2"/>
  <c r="G93" i="2" s="1"/>
  <c r="K93" i="2" s="1"/>
  <c r="F82" i="2"/>
  <c r="G82" i="2" s="1"/>
  <c r="K82" i="2" s="1"/>
  <c r="E31" i="4"/>
  <c r="F102" i="2"/>
  <c r="G102" i="2" s="1"/>
  <c r="K102" i="2" s="1"/>
  <c r="F76" i="2"/>
  <c r="G76" i="2" s="1"/>
  <c r="K76" i="2" s="1"/>
  <c r="E28" i="4"/>
  <c r="E36" i="4"/>
  <c r="F101" i="2"/>
  <c r="G101" i="2" s="1"/>
  <c r="K101" i="2" s="1"/>
  <c r="E89" i="4"/>
  <c r="F90" i="2"/>
  <c r="G90" i="2" s="1"/>
  <c r="K90" i="2" s="1"/>
  <c r="E84" i="4"/>
  <c r="E64" i="4"/>
  <c r="F42" i="2"/>
  <c r="G42" i="2" s="1"/>
  <c r="I42" i="2" s="1"/>
  <c r="F64" i="2"/>
  <c r="G64" i="2" s="1"/>
  <c r="J64" i="2" s="1"/>
  <c r="E79" i="4"/>
  <c r="E88" i="4"/>
  <c r="F98" i="2"/>
  <c r="G98" i="2" s="1"/>
  <c r="K98" i="2" s="1"/>
  <c r="F27" i="2"/>
  <c r="G27" i="2" s="1"/>
  <c r="H27" i="2" s="1"/>
  <c r="E49" i="4"/>
  <c r="F63" i="2"/>
  <c r="G63" i="2" s="1"/>
  <c r="J63" i="2" s="1"/>
  <c r="F23" i="2"/>
  <c r="G23" i="2" s="1"/>
  <c r="H23" i="2" s="1"/>
  <c r="E46" i="4"/>
  <c r="E71" i="4"/>
  <c r="F49" i="2"/>
  <c r="G49" i="2" s="1"/>
  <c r="I49" i="2" s="1"/>
  <c r="F59" i="2"/>
  <c r="G59" i="2" s="1"/>
  <c r="I59" i="2" s="1"/>
  <c r="E14" i="4"/>
  <c r="F83" i="2"/>
  <c r="G83" i="2" s="1"/>
  <c r="K83" i="2" s="1"/>
  <c r="E32" i="4"/>
  <c r="F35" i="2"/>
  <c r="G35" i="2" s="1"/>
  <c r="I35" i="2" s="1"/>
  <c r="E57" i="4"/>
  <c r="E82" i="4"/>
  <c r="F79" i="2"/>
  <c r="G79" i="2" s="1"/>
  <c r="K79" i="2" s="1"/>
  <c r="E19" i="4"/>
  <c r="F67" i="2"/>
  <c r="G67" i="2" s="1"/>
  <c r="J67" i="2" s="1"/>
  <c r="F41" i="2"/>
  <c r="G41" i="2" s="1"/>
  <c r="I41" i="2" s="1"/>
  <c r="E63" i="4"/>
  <c r="E38" i="4"/>
  <c r="F103" i="2"/>
  <c r="G103" i="2" s="1"/>
  <c r="J103" i="2" s="1"/>
  <c r="E43" i="4"/>
  <c r="F50" i="2"/>
  <c r="G50" i="2" s="1"/>
  <c r="I50" i="2" s="1"/>
  <c r="E72" i="4"/>
  <c r="F89" i="2"/>
  <c r="G89" i="2" s="1"/>
  <c r="K89" i="2" s="1"/>
  <c r="E37" i="4"/>
  <c r="E35" i="4"/>
  <c r="F87" i="2"/>
  <c r="G87" i="2" s="1"/>
  <c r="K87" i="2" s="1"/>
  <c r="F21" i="2"/>
  <c r="G21" i="2" s="1"/>
  <c r="H21" i="2" s="1"/>
  <c r="E29" i="4"/>
  <c r="F80" i="2"/>
  <c r="G80" i="2" s="1"/>
  <c r="K80" i="2" s="1"/>
  <c r="F71" i="2"/>
  <c r="G71" i="2" s="1"/>
  <c r="E23" i="4"/>
  <c r="F36" i="2"/>
  <c r="G36" i="2" s="1"/>
  <c r="I36" i="2" s="1"/>
  <c r="E58" i="4"/>
  <c r="F84" i="2"/>
  <c r="G84" i="2" s="1"/>
  <c r="K84" i="2" s="1"/>
  <c r="E83" i="4"/>
  <c r="E26" i="4"/>
  <c r="F74" i="2"/>
  <c r="G74" i="2" s="1"/>
  <c r="J74" i="2" s="1"/>
  <c r="F60" i="2"/>
  <c r="G60" i="2" s="1"/>
  <c r="I60" i="2" s="1"/>
  <c r="E15" i="4"/>
  <c r="E81" i="4"/>
  <c r="F78" i="2"/>
  <c r="G78" i="2" s="1"/>
  <c r="K78" i="2" s="1"/>
  <c r="I70" i="2"/>
  <c r="C11" i="2"/>
  <c r="C12" i="2"/>
  <c r="O113" i="2" l="1"/>
  <c r="O112" i="2"/>
  <c r="C16" i="2"/>
  <c r="D18" i="2" s="1"/>
  <c r="O85" i="2"/>
  <c r="O109" i="2"/>
  <c r="O100" i="2"/>
  <c r="O94" i="2"/>
  <c r="O92" i="2"/>
  <c r="C15" i="2"/>
  <c r="C18" i="2" s="1"/>
  <c r="O79" i="2"/>
  <c r="O74" i="2"/>
  <c r="O80" i="2"/>
  <c r="O107" i="2"/>
  <c r="O86" i="2"/>
  <c r="O91" i="2"/>
  <c r="O101" i="2"/>
  <c r="O73" i="2"/>
  <c r="O104" i="2"/>
  <c r="O90" i="2"/>
  <c r="O87" i="2"/>
  <c r="O99" i="2"/>
  <c r="O95" i="2"/>
  <c r="O72" i="2"/>
  <c r="O82" i="2"/>
  <c r="O102" i="2"/>
  <c r="O96" i="2"/>
  <c r="O103" i="2"/>
  <c r="O105" i="2"/>
  <c r="O69" i="2"/>
  <c r="O106" i="2"/>
  <c r="O71" i="2"/>
  <c r="O108" i="2"/>
  <c r="O97" i="2"/>
  <c r="O76" i="2"/>
  <c r="O84" i="2"/>
  <c r="O78" i="2"/>
  <c r="O98" i="2"/>
  <c r="O110" i="2"/>
  <c r="O81" i="2"/>
  <c r="O70" i="2"/>
  <c r="O89" i="2"/>
  <c r="O83" i="2"/>
  <c r="O111" i="2"/>
  <c r="O88" i="2"/>
  <c r="O93" i="2"/>
  <c r="O77" i="2"/>
  <c r="O75" i="2"/>
  <c r="J71" i="2"/>
  <c r="F18" i="2" l="1"/>
  <c r="F19" i="2" s="1"/>
</calcChain>
</file>

<file path=xl/sharedStrings.xml><?xml version="1.0" encoding="utf-8"?>
<sst xmlns="http://schemas.openxmlformats.org/spreadsheetml/2006/main" count="941" uniqueCount="441">
  <si>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</si>
  <si>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</si>
  <si>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</si>
  <si>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</si>
  <si>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</si>
  <si>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</si>
  <si>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</si>
  <si>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</si>
  <si>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</si>
  <si>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</si>
  <si>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</si>
  <si>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</si>
  <si>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</si>
  <si>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</si>
  <si>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</si>
  <si>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</si>
  <si>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</si>
  <si>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</si>
  <si>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</si>
  <si>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</si>
  <si>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</si>
  <si>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</si>
  <si>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</si>
  <si>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</si>
  <si>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</si>
  <si>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</si>
  <si>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</si>
  <si>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</si>
  <si>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</si>
  <si>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WZ Leo</t>
  </si>
  <si>
    <t>v</t>
  </si>
  <si>
    <t>Paschke A</t>
  </si>
  <si>
    <t>BBSAG Bull.92</t>
  </si>
  <si>
    <t>B</t>
  </si>
  <si>
    <t>BRNO 31</t>
  </si>
  <si>
    <t>K</t>
  </si>
  <si>
    <t>Peter H</t>
  </si>
  <si>
    <t>BBSAG Bull.97</t>
  </si>
  <si>
    <t>ccd</t>
  </si>
  <si>
    <t>BBSAG Bull.115</t>
  </si>
  <si>
    <t>BRNO</t>
  </si>
  <si>
    <t>BBSAG</t>
  </si>
  <si>
    <t>IBVS 5484</t>
  </si>
  <si>
    <t>IBVS</t>
  </si>
  <si>
    <t>II</t>
  </si>
  <si>
    <t>EA/D</t>
  </si>
  <si>
    <t>IBVS 5643</t>
  </si>
  <si>
    <t>WZ Leo / GSC 01406-00863</t>
  </si>
  <si>
    <t>aka PPM 126585</t>
  </si>
  <si>
    <t>IBVS 5657</t>
  </si>
  <si>
    <t>IBVS 5676</t>
  </si>
  <si>
    <t>I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</si>
  <si>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</si>
  <si>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</si>
  <si>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</si>
  <si>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</si>
  <si>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</si>
  <si>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</si>
  <si>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</si>
  <si>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</si>
  <si>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Start of linear fit &gt;&gt;&gt;&gt;&gt;&gt;&gt;&gt;&gt;&gt;&gt;&gt;&gt;&gt;&gt;&gt;&gt;&gt;&gt;&gt;&gt;</t>
  </si>
  <si>
    <t>IBVS 5910</t>
  </si>
  <si>
    <t>OEJV 0074</t>
  </si>
  <si>
    <t>CCD+V</t>
  </si>
  <si>
    <t>IBVS 5945</t>
  </si>
  <si>
    <t>Add cycle</t>
  </si>
  <si>
    <t>Old Cycle</t>
  </si>
  <si>
    <t>IBVS 5992</t>
  </si>
  <si>
    <t>IBVS 6010</t>
  </si>
  <si>
    <t>OEJV 0003</t>
  </si>
  <si>
    <t>JAVSO..38...85</t>
  </si>
  <si>
    <t>JAVSO..39...94</t>
  </si>
  <si>
    <t>JAVSO..39..177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</si>
  <si>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</si>
  <si>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</si>
  <si>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</si>
  <si>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</si>
  <si>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</si>
  <si>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</si>
  <si>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</si>
  <si>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</si>
  <si>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</si>
  <si>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</si>
  <si>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</si>
  <si>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</si>
  <si>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</si>
  <si>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2419829.36 </t>
  </si>
  <si>
    <t> 02.03.1913 20:38 </t>
  </si>
  <si>
    <t> 0.67 </t>
  </si>
  <si>
    <t>P </t>
  </si>
  <si>
    <t> N.E.Kurochkin </t>
  </si>
  <si>
    <t> PZ 6.312 </t>
  </si>
  <si>
    <t>2426767.4 </t>
  </si>
  <si>
    <t> 29.02.1932 21:36 </t>
  </si>
  <si>
    <t> 0.1 </t>
  </si>
  <si>
    <t> H.Sandig </t>
  </si>
  <si>
    <t> AN 275.40 </t>
  </si>
  <si>
    <t>2428240.4 </t>
  </si>
  <si>
    <t> 12.03.1936 21:36 </t>
  </si>
  <si>
    <t>2428654.4 </t>
  </si>
  <si>
    <t> 30.04.1937 21:36 </t>
  </si>
  <si>
    <t>2431162.400 </t>
  </si>
  <si>
    <t> 12.03.1944 21:36 </t>
  </si>
  <si>
    <t> -0.100 </t>
  </si>
  <si>
    <t> O.K.Odynskaja </t>
  </si>
  <si>
    <t> PZ 6.198 </t>
  </si>
  <si>
    <t>2431169.46 </t>
  </si>
  <si>
    <t> 19.03.1944 23:02 </t>
  </si>
  <si>
    <t> -0.07 </t>
  </si>
  <si>
    <t>2431176.45 </t>
  </si>
  <si>
    <t> 26.03.1944 22:48 </t>
  </si>
  <si>
    <t> -0.11 </t>
  </si>
  <si>
    <t>2431179.29 </t>
  </si>
  <si>
    <t> 29.03.1944 18:57 </t>
  </si>
  <si>
    <t> -0.08 </t>
  </si>
  <si>
    <t>2436227.538 </t>
  </si>
  <si>
    <t> 24.01.1958 00:54 </t>
  </si>
  <si>
    <t> -4.853 </t>
  </si>
  <si>
    <t> Hajek &amp; Novak </t>
  </si>
  <si>
    <t> BRNO 31.94 </t>
  </si>
  <si>
    <t>2436285.399 </t>
  </si>
  <si>
    <t> 22.03.1958 21:34 </t>
  </si>
  <si>
    <t> -4.620 </t>
  </si>
  <si>
    <t>2437403.390 </t>
  </si>
  <si>
    <t> 13.04.1961 21:21 </t>
  </si>
  <si>
    <t> -4.760 </t>
  </si>
  <si>
    <t>2440318.386 </t>
  </si>
  <si>
    <t> 06.04.1969 21:15 </t>
  </si>
  <si>
    <t> -4.916 </t>
  </si>
  <si>
    <t>2441391.377 </t>
  </si>
  <si>
    <t> 14.03.1972 21:02 </t>
  </si>
  <si>
    <t> -5.078 </t>
  </si>
  <si>
    <t>2441595.603 </t>
  </si>
  <si>
    <t> 05.10.1972 02:28 </t>
  </si>
  <si>
    <t> -4.660 </t>
  </si>
  <si>
    <t>2441798.382 </t>
  </si>
  <si>
    <t> 25.04.1973 21:10 </t>
  </si>
  <si>
    <t> -4.986 </t>
  </si>
  <si>
    <t>2441990.583 </t>
  </si>
  <si>
    <t> 04.11.1973 01:59 </t>
  </si>
  <si>
    <t> -4.645 </t>
  </si>
  <si>
    <t>2443549.787 </t>
  </si>
  <si>
    <t> 10.02.1978 06:53 </t>
  </si>
  <si>
    <t> -4.921 </t>
  </si>
  <si>
    <t>V </t>
  </si>
  <si>
    <t> G.Samolyk </t>
  </si>
  <si>
    <t> AOEB 12 </t>
  </si>
  <si>
    <t>2443982.710 </t>
  </si>
  <si>
    <t> 19.04.1979 05:02 </t>
  </si>
  <si>
    <t> -4.913 </t>
  </si>
  <si>
    <t>2444634.427 </t>
  </si>
  <si>
    <t> 29.01.1981 22:14 </t>
  </si>
  <si>
    <t> -4.678 </t>
  </si>
  <si>
    <t>2445753.758 </t>
  </si>
  <si>
    <t> 23.02.1984 06:11 </t>
  </si>
  <si>
    <t> -4.884 </t>
  </si>
  <si>
    <t>2445810.301 </t>
  </si>
  <si>
    <t> 19.04.1984 19:13 </t>
  </si>
  <si>
    <t> -5.266 </t>
  </si>
  <si>
    <t> J.Silhan </t>
  </si>
  <si>
    <t> BRNO 31.95 </t>
  </si>
  <si>
    <t>2445912.350 </t>
  </si>
  <si>
    <t> 30.07.1984 20:24 </t>
  </si>
  <si>
    <t> -5.121 </t>
  </si>
  <si>
    <t>2445917.338 </t>
  </si>
  <si>
    <t> 04.08.1984 20:06 </t>
  </si>
  <si>
    <t> -5.053 </t>
  </si>
  <si>
    <t>2446004.594 </t>
  </si>
  <si>
    <t> 31.10.1984 02:15 </t>
  </si>
  <si>
    <t> -4.942 </t>
  </si>
  <si>
    <t>2446059.490 </t>
  </si>
  <si>
    <t> 24.12.1984 23:45 </t>
  </si>
  <si>
    <t> -4.863 </t>
  </si>
  <si>
    <t>2446121.466 </t>
  </si>
  <si>
    <t> 24.02.1985 23:11 </t>
  </si>
  <si>
    <t> -4.732 </t>
  </si>
  <si>
    <t>2446200.374 </t>
  </si>
  <si>
    <t> 14.05.1985 20:58 </t>
  </si>
  <si>
    <t> -4.536 </t>
  </si>
  <si>
    <t>2446200.379 </t>
  </si>
  <si>
    <t> 14.05.1985 21:05 </t>
  </si>
  <si>
    <t> -4.531 </t>
  </si>
  <si>
    <t> H.Grzelczyk </t>
  </si>
  <si>
    <t>BAVM 43 </t>
  </si>
  <si>
    <t>2446552.395 </t>
  </si>
  <si>
    <t> 01.05.1986 21:28 </t>
  </si>
  <si>
    <t> -4.610 </t>
  </si>
  <si>
    <t> A.Paschke </t>
  </si>
  <si>
    <t>2446828.342 </t>
  </si>
  <si>
    <t> 01.02.1987 20:12 </t>
  </si>
  <si>
    <t> -4.858 </t>
  </si>
  <si>
    <t>2447266.340 </t>
  </si>
  <si>
    <t> 14.04.1988 20:09 </t>
  </si>
  <si>
    <t> -4.695 </t>
  </si>
  <si>
    <t>2447649.375 </t>
  </si>
  <si>
    <t> 02.05.1989 21:00 </t>
  </si>
  <si>
    <t> BBS 92 </t>
  </si>
  <si>
    <t>2447946.501 </t>
  </si>
  <si>
    <t> 24.02.1990 00:01 </t>
  </si>
  <si>
    <t> -4.830 </t>
  </si>
  <si>
    <t> J.Borovicka </t>
  </si>
  <si>
    <t> BRNO 31 </t>
  </si>
  <si>
    <t>2447970.439 </t>
  </si>
  <si>
    <t> 19.03.1990 22:32 </t>
  </si>
  <si>
    <t> -4.787 </t>
  </si>
  <si>
    <t> A.Dedoch </t>
  </si>
  <si>
    <t>2447970.441 </t>
  </si>
  <si>
    <t> 19.03.1990 22:35 </t>
  </si>
  <si>
    <t> -4.785 </t>
  </si>
  <si>
    <t>2448274.599 </t>
  </si>
  <si>
    <t> 18.01.1991 02:22 </t>
  </si>
  <si>
    <t> -4.932 </t>
  </si>
  <si>
    <t>2448362.411 </t>
  </si>
  <si>
    <t> 15.04.1991 21:51 </t>
  </si>
  <si>
    <t> -4.969 </t>
  </si>
  <si>
    <t> H.Peter </t>
  </si>
  <si>
    <t> BBS 97 </t>
  </si>
  <si>
    <t>2448677.347 </t>
  </si>
  <si>
    <t> 24.02.1992 20:19 </t>
  </si>
  <si>
    <t> -4.880 </t>
  </si>
  <si>
    <t> P.Adamek </t>
  </si>
  <si>
    <t>2449002.633 </t>
  </si>
  <si>
    <t> 15.01.1993 03:11 </t>
  </si>
  <si>
    <t> -4.984 </t>
  </si>
  <si>
    <t>2450509.3908 </t>
  </si>
  <si>
    <t> 01.03.1997 21:22 </t>
  </si>
  <si>
    <t> -4.9970 </t>
  </si>
  <si>
    <t> P.Sobotka </t>
  </si>
  <si>
    <t> BRNO 32 </t>
  </si>
  <si>
    <t>2450509.3922 </t>
  </si>
  <si>
    <t> 01.03.1997 21:24 </t>
  </si>
  <si>
    <t> -4.9956 </t>
  </si>
  <si>
    <t>2450509.4026 </t>
  </si>
  <si>
    <t> 01.03.1997 21:39 </t>
  </si>
  <si>
    <t> -4.9852 </t>
  </si>
  <si>
    <t> L.Brat </t>
  </si>
  <si>
    <t>2450516.437 </t>
  </si>
  <si>
    <t> 08.03.1997 22:29 </t>
  </si>
  <si>
    <t> -4.979 </t>
  </si>
  <si>
    <t>E </t>
  </si>
  <si>
    <t>?</t>
  </si>
  <si>
    <t> BBS 115 </t>
  </si>
  <si>
    <t>2451658.46970 </t>
  </si>
  <si>
    <t> 23.04.2000 23:16 </t>
  </si>
  <si>
    <t> -4.97154 </t>
  </si>
  <si>
    <t>C </t>
  </si>
  <si>
    <t> P.Hájek </t>
  </si>
  <si>
    <t>OEJV 0074 </t>
  </si>
  <si>
    <t>2452703.3329 </t>
  </si>
  <si>
    <t> 04.03.2003 19:59 </t>
  </si>
  <si>
    <t> -5.1496 </t>
  </si>
  <si>
    <t>-I</t>
  </si>
  <si>
    <t> F.Agerer </t>
  </si>
  <si>
    <t>BAVM 158 </t>
  </si>
  <si>
    <t>2452772.3338 </t>
  </si>
  <si>
    <t> 12.05.2003 20:00 </t>
  </si>
  <si>
    <t>15378</t>
  </si>
  <si>
    <t> -5.0217 </t>
  </si>
  <si>
    <t> L.Kotková &amp; M.Wolf </t>
  </si>
  <si>
    <t>IBVS 5676 </t>
  </si>
  <si>
    <t>2453093.3989 </t>
  </si>
  <si>
    <t> 28.03.2004 21:34 </t>
  </si>
  <si>
    <t>15606.5</t>
  </si>
  <si>
    <t> -5.1293 </t>
  </si>
  <si>
    <t>o</t>
  </si>
  <si>
    <t>BAVM 172 </t>
  </si>
  <si>
    <t>2453400.375 </t>
  </si>
  <si>
    <t> 29.01.2005 21:00 </t>
  </si>
  <si>
    <t>15825</t>
  </si>
  <si>
    <t> -5.270 </t>
  </si>
  <si>
    <t> K.Locher </t>
  </si>
  <si>
    <t>OEJV 0003 </t>
  </si>
  <si>
    <t>2453443.3360 </t>
  </si>
  <si>
    <t> 13.03.2005 20:03 </t>
  </si>
  <si>
    <t>15855.5</t>
  </si>
  <si>
    <t> -5.1791 </t>
  </si>
  <si>
    <t>BAVM 173 </t>
  </si>
  <si>
    <t>2453445.4440 </t>
  </si>
  <si>
    <t> 15.03.2005 22:39 </t>
  </si>
  <si>
    <t>15857</t>
  </si>
  <si>
    <t> -5.1795 </t>
  </si>
  <si>
    <t>2453445.4458 </t>
  </si>
  <si>
    <t> 15.03.2005 22:41 </t>
  </si>
  <si>
    <t> -5.1777 </t>
  </si>
  <si>
    <t> M. Zejda et al. </t>
  </si>
  <si>
    <t>IBVS 5741 </t>
  </si>
  <si>
    <t>2453706.6603 </t>
  </si>
  <si>
    <t> 02.12.2005 03:50 </t>
  </si>
  <si>
    <t>16043</t>
  </si>
  <si>
    <t> -5.3992 </t>
  </si>
  <si>
    <t> Moschner </t>
  </si>
  <si>
    <t>BAVM 178 </t>
  </si>
  <si>
    <t>2453814.3876 </t>
  </si>
  <si>
    <t> 19.03.2006 21:18 </t>
  </si>
  <si>
    <t>16119.5</t>
  </si>
  <si>
    <t> -5.1980 </t>
  </si>
  <si>
    <t> Agerer </t>
  </si>
  <si>
    <t>2453814.38761 </t>
  </si>
  <si>
    <t> -5.19801 </t>
  </si>
  <si>
    <t>R</t>
  </si>
  <si>
    <t> L.Brát </t>
  </si>
  <si>
    <t>2454114.3296 </t>
  </si>
  <si>
    <t> 13.01.2007 19:54 </t>
  </si>
  <si>
    <t>16333</t>
  </si>
  <si>
    <t> -5.3452 </t>
  </si>
  <si>
    <t>Ic</t>
  </si>
  <si>
    <t> K.Nakajima </t>
  </si>
  <si>
    <t>VSB 46 </t>
  </si>
  <si>
    <t>2454167.8413 </t>
  </si>
  <si>
    <t> 08.03.2007 08:11 </t>
  </si>
  <si>
    <t>16371</t>
  </si>
  <si>
    <t> -5.2452 </t>
  </si>
  <si>
    <t>ns</t>
  </si>
  <si>
    <t>2454172.7749 </t>
  </si>
  <si>
    <t> 13.03.2007 06:35 </t>
  </si>
  <si>
    <t>16374.5</t>
  </si>
  <si>
    <t> -5.2311 </t>
  </si>
  <si>
    <t>2454483.9779 </t>
  </si>
  <si>
    <t> 18.01.2008 11:28 </t>
  </si>
  <si>
    <t>16596</t>
  </si>
  <si>
    <t> -5.3618 </t>
  </si>
  <si>
    <t> C.Lacy </t>
  </si>
  <si>
    <t>IBVS 5910 </t>
  </si>
  <si>
    <t>2454495.9464 </t>
  </si>
  <si>
    <t> 30.01.2008 10:42 </t>
  </si>
  <si>
    <t>16604.5</t>
  </si>
  <si>
    <t> -5.3407 </t>
  </si>
  <si>
    <t>2454502.9877 </t>
  </si>
  <si>
    <t> 06.02.2008 11:42 </t>
  </si>
  <si>
    <t>16609.5</t>
  </si>
  <si>
    <t> -5.3272 </t>
  </si>
  <si>
    <t>2454507.9173 </t>
  </si>
  <si>
    <t> 11.02.2008 10:00 </t>
  </si>
  <si>
    <t>16613</t>
  </si>
  <si>
    <t> -5.3171 </t>
  </si>
  <si>
    <t>2454555.0893 </t>
  </si>
  <si>
    <t> 29.03.2008 14:08 </t>
  </si>
  <si>
    <t>16646.5</t>
  </si>
  <si>
    <t> -5.2317 </t>
  </si>
  <si>
    <t> H.Itoh </t>
  </si>
  <si>
    <t>VSB 48 </t>
  </si>
  <si>
    <t>2454567.7639 </t>
  </si>
  <si>
    <t> 11.04.2008 06:20 </t>
  </si>
  <si>
    <t>16655.5</t>
  </si>
  <si>
    <t> -5.2072 </t>
  </si>
  <si>
    <t>2454584.6621 </t>
  </si>
  <si>
    <t> 28.04.2008 03:53 </t>
  </si>
  <si>
    <t>16667.5</t>
  </si>
  <si>
    <t> -5.1759 </t>
  </si>
  <si>
    <t>2454584.6630 </t>
  </si>
  <si>
    <t> 28.04.2008 03:54 </t>
  </si>
  <si>
    <t> -5.1750 </t>
  </si>
  <si>
    <t>2454591.7031 </t>
  </si>
  <si>
    <t> 05.05.2008 04:52 </t>
  </si>
  <si>
    <t>16672.5</t>
  </si>
  <si>
    <t> -5.1627 </t>
  </si>
  <si>
    <t>2454905.7266 </t>
  </si>
  <si>
    <t> 15.03.2009 05:26 </t>
  </si>
  <si>
    <t>16896</t>
  </si>
  <si>
    <t> -5.2841 </t>
  </si>
  <si>
    <t> JAAVSO 38;85 </t>
  </si>
  <si>
    <t>2455192.9954 </t>
  </si>
  <si>
    <t> 27.12.2009 11:53 </t>
  </si>
  <si>
    <t>17100.5</t>
  </si>
  <si>
    <t> -5.4544 </t>
  </si>
  <si>
    <t>IBVS 5972 </t>
  </si>
  <si>
    <t>2455209.8941 </t>
  </si>
  <si>
    <t> 13.01.2010 09:27 </t>
  </si>
  <si>
    <t>17112.5</t>
  </si>
  <si>
    <t> -5.4225 </t>
  </si>
  <si>
    <t>2455240.8761 </t>
  </si>
  <si>
    <t> 13.02.2010 09:01 </t>
  </si>
  <si>
    <t>17134.5</t>
  </si>
  <si>
    <t> -5.3631 </t>
  </si>
  <si>
    <t> R.Diethelm </t>
  </si>
  <si>
    <t>IBVS 5945 </t>
  </si>
  <si>
    <t>2455279.6004 </t>
  </si>
  <si>
    <t> 24.03.2010 02:24 </t>
  </si>
  <si>
    <t>17162</t>
  </si>
  <si>
    <t> -5.2919 </t>
  </si>
  <si>
    <t> JAAVSO 39;94 </t>
  </si>
  <si>
    <t>2455566.1624 </t>
  </si>
  <si>
    <t> 04.01.2011 15:53 </t>
  </si>
  <si>
    <t>17366</t>
  </si>
  <si>
    <t> -5.4662 </t>
  </si>
  <si>
    <t>Rc</t>
  </si>
  <si>
    <t> K.Shiokawa </t>
  </si>
  <si>
    <t>VSB 53 </t>
  </si>
  <si>
    <t>2455585.8787 </t>
  </si>
  <si>
    <t> 24.01.2011 09:05 </t>
  </si>
  <si>
    <t>17380</t>
  </si>
  <si>
    <t> -5.4279 </t>
  </si>
  <si>
    <t>IBVS 5992 </t>
  </si>
  <si>
    <t>2455601.3679 </t>
  </si>
  <si>
    <t> 08.02.2011 20:49 </t>
  </si>
  <si>
    <t>17391</t>
  </si>
  <si>
    <t> -5.4000 </t>
  </si>
  <si>
    <t>-U;-I</t>
  </si>
  <si>
    <t> M.&amp; K.Rätz </t>
  </si>
  <si>
    <t>BAVM 225 </t>
  </si>
  <si>
    <t>2455625.3079 </t>
  </si>
  <si>
    <t> 04.03.2011 19:23 </t>
  </si>
  <si>
    <t>17408</t>
  </si>
  <si>
    <t> -5.3547 </t>
  </si>
  <si>
    <t>BAVM 220 </t>
  </si>
  <si>
    <t>2455625.3131 </t>
  </si>
  <si>
    <t> 04.03.2011 19:30 </t>
  </si>
  <si>
    <t> -5.3495 </t>
  </si>
  <si>
    <t> M.Dietrich </t>
  </si>
  <si>
    <t>2455650.6549 </t>
  </si>
  <si>
    <t> 30.03.2011 03:43 </t>
  </si>
  <si>
    <t>17426</t>
  </si>
  <si>
    <t> -5.3079 </t>
  </si>
  <si>
    <t> JAAVSO 39;177 </t>
  </si>
  <si>
    <t>2456687.0761 </t>
  </si>
  <si>
    <t> 29.01.2014 13:49 </t>
  </si>
  <si>
    <t>18163.5</t>
  </si>
  <si>
    <t> -5.4946 </t>
  </si>
  <si>
    <t>VSB 59 </t>
  </si>
  <si>
    <t>2456701.1588 </t>
  </si>
  <si>
    <t> 12.02.2014 15:48 </t>
  </si>
  <si>
    <t>18173.5</t>
  </si>
  <si>
    <t> -5.4676 </t>
  </si>
  <si>
    <t> Y.Maeda </t>
  </si>
  <si>
    <t>2457074.3255 </t>
  </si>
  <si>
    <t> 20.02.2015 19:48 </t>
  </si>
  <si>
    <t>18439</t>
  </si>
  <si>
    <t> -5.4797 </t>
  </si>
  <si>
    <t>BAVM 239 </t>
  </si>
  <si>
    <t>BAD?</t>
  </si>
  <si>
    <t>JAVSO..44…69</t>
  </si>
  <si>
    <t>JAVSO..45..121</t>
  </si>
  <si>
    <t>s5</t>
  </si>
  <si>
    <t>s6</t>
  </si>
  <si>
    <t>s7</t>
  </si>
  <si>
    <t>IBVS 5972</t>
  </si>
  <si>
    <t>JAVSO..46..184</t>
  </si>
  <si>
    <t>JAVSO..48..256</t>
  </si>
  <si>
    <t>JAVSO 49, 256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</si>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</sst>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2" applyNumberFormat="0" applyFont="0" applyFill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7" fillId="3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5" fontId="2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7" fillId="4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0" fontId="15" fillId="0" borderId="0" xfId="8" applyFont="1" applyAlignment="1">
      <alignment horizontal="left" vertical="center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Leo - O-C Diagr.</a:t>
            </a:r>
          </a:p>
        </c:rich>
      </c:tx>
      <c:layout>
        <c:manualLayout>
          <c:xMode val="edge"/>
          <c:yMode val="edge"/>
          <c:x val="0.3781645569620253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4683544303797"/>
          <c:y val="0.14723926380368099"/>
          <c:w val="0.8212025316455696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-2.137445000000298</c:v>
                </c:pt>
                <c:pt idx="1">
                  <c:v>-1.9909649999972316</c:v>
                </c:pt>
                <c:pt idx="2">
                  <c:v>-2.0283249999993131</c:v>
                </c:pt>
                <c:pt idx="3">
                  <c:v>-1.9686899999978777</c:v>
                </c:pt>
                <c:pt idx="4">
                  <c:v>-2.2083549999988463</c:v>
                </c:pt>
                <c:pt idx="5">
                  <c:v>-2.1083550000003015</c:v>
                </c:pt>
                <c:pt idx="6">
                  <c:v>-2.1762049999997544</c:v>
                </c:pt>
                <c:pt idx="7">
                  <c:v>-2.2140550000003714</c:v>
                </c:pt>
                <c:pt idx="8">
                  <c:v>-2.1851949999982025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4-4ED4-9DDD-73D9B033EF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Active!$D$22:$D$37</c:f>
                <c:numCache>
                  <c:formatCode>General</c:formatCode>
                  <c:ptCount val="16"/>
                  <c:pt idx="4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9">
                  <c:v>-2.0418500000014319</c:v>
                </c:pt>
                <c:pt idx="10">
                  <c:v>-1.8092200000028242</c:v>
                </c:pt>
                <c:pt idx="11">
                  <c:v>-1.9491550000020652</c:v>
                </c:pt>
                <c:pt idx="12">
                  <c:v>-2.1053350000001956</c:v>
                </c:pt>
                <c:pt idx="13">
                  <c:v>-2.2670299999954295</c:v>
                </c:pt>
                <c:pt idx="14">
                  <c:v>-1.848679999995511</c:v>
                </c:pt>
                <c:pt idx="15">
                  <c:v>-2.1745450000016717</c:v>
                </c:pt>
                <c:pt idx="16">
                  <c:v>-1.8338500000027125</c:v>
                </c:pt>
                <c:pt idx="17">
                  <c:v>-2.1097650000010617</c:v>
                </c:pt>
                <c:pt idx="18">
                  <c:v>-2.102324999999837</c:v>
                </c:pt>
                <c:pt idx="19">
                  <c:v>-1.8670199999978649</c:v>
                </c:pt>
                <c:pt idx="20">
                  <c:v>-2.0725249999959487</c:v>
                </c:pt>
                <c:pt idx="21">
                  <c:v>-2.4551100000026054</c:v>
                </c:pt>
                <c:pt idx="22">
                  <c:v>-2.3099350000047707</c:v>
                </c:pt>
                <c:pt idx="23">
                  <c:v>-2.2414299999945797</c:v>
                </c:pt>
                <c:pt idx="24">
                  <c:v>-2.1307700000033947</c:v>
                </c:pt>
                <c:pt idx="25">
                  <c:v>-2.0520000000033178</c:v>
                </c:pt>
                <c:pt idx="26">
                  <c:v>-1.9210800000000745</c:v>
                </c:pt>
                <c:pt idx="27">
                  <c:v>-2.427784999999858</c:v>
                </c:pt>
                <c:pt idx="28">
                  <c:v>-2.4227850000024773</c:v>
                </c:pt>
                <c:pt idx="29">
                  <c:v>-1.7992850000009639</c:v>
                </c:pt>
                <c:pt idx="30">
                  <c:v>-2.0467900000003283</c:v>
                </c:pt>
                <c:pt idx="31">
                  <c:v>-1.8838450000039302</c:v>
                </c:pt>
                <c:pt idx="32">
                  <c:v>-1.8666700000030687</c:v>
                </c:pt>
                <c:pt idx="33">
                  <c:v>-2.0187250000017229</c:v>
                </c:pt>
                <c:pt idx="34">
                  <c:v>-1.975415000000794</c:v>
                </c:pt>
                <c:pt idx="35">
                  <c:v>-1.9734150000003865</c:v>
                </c:pt>
                <c:pt idx="36">
                  <c:v>-1.9724149999965448</c:v>
                </c:pt>
                <c:pt idx="37">
                  <c:v>-2.1213199999983772</c:v>
                </c:pt>
                <c:pt idx="38">
                  <c:v>-2.1574449999970966</c:v>
                </c:pt>
                <c:pt idx="39">
                  <c:v>-2.0691250000018044</c:v>
                </c:pt>
                <c:pt idx="40">
                  <c:v>-2.1725799999985611</c:v>
                </c:pt>
                <c:pt idx="44">
                  <c:v>-2.1674700000003213</c:v>
                </c:pt>
                <c:pt idx="49">
                  <c:v>-2.4591099999961443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D4-4ED4-9DDD-73D9B033EF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1">
                  <c:v>-2.1858199999987846</c:v>
                </c:pt>
                <c:pt idx="42">
                  <c:v>-2.1844199999977718</c:v>
                </c:pt>
                <c:pt idx="43">
                  <c:v>-2.1740199999985634</c:v>
                </c:pt>
                <c:pt idx="46">
                  <c:v>-2.3384900000019115</c:v>
                </c:pt>
                <c:pt idx="48">
                  <c:v>-2.3181650000042282</c:v>
                </c:pt>
                <c:pt idx="50">
                  <c:v>-2.3679950000005192</c:v>
                </c:pt>
                <c:pt idx="51">
                  <c:v>-2.3683499999970081</c:v>
                </c:pt>
                <c:pt idx="53">
                  <c:v>-2.5880699999979697</c:v>
                </c:pt>
                <c:pt idx="54">
                  <c:v>-2.3868749999965075</c:v>
                </c:pt>
                <c:pt idx="76">
                  <c:v>-2.5435199999992619</c:v>
                </c:pt>
                <c:pt idx="78">
                  <c:v>-2.538220000002184</c:v>
                </c:pt>
                <c:pt idx="82">
                  <c:v>-2.6685900000011316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D4-4ED4-9DDD-73D9B033EF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5">
                  <c:v>-2.1603949999989709</c:v>
                </c:pt>
                <c:pt idx="47">
                  <c:v>-2.2105200000005425</c:v>
                </c:pt>
                <c:pt idx="52">
                  <c:v>-2.3665499999988242</c:v>
                </c:pt>
                <c:pt idx="55">
                  <c:v>-2.3868650000003981</c:v>
                </c:pt>
                <c:pt idx="56">
                  <c:v>-2.5340700000015204</c:v>
                </c:pt>
                <c:pt idx="57">
                  <c:v>-2.4340300000039861</c:v>
                </c:pt>
                <c:pt idx="58">
                  <c:v>-2.4199250000019674</c:v>
                </c:pt>
                <c:pt idx="59">
                  <c:v>-2.5506800000002841</c:v>
                </c:pt>
                <c:pt idx="60">
                  <c:v>-2.5295249999981024</c:v>
                </c:pt>
                <c:pt idx="61">
                  <c:v>-2.5160750000068219</c:v>
                </c:pt>
                <c:pt idx="62">
                  <c:v>-2.5059699999983422</c:v>
                </c:pt>
                <c:pt idx="63">
                  <c:v>-2.4205650000003516</c:v>
                </c:pt>
                <c:pt idx="64">
                  <c:v>-2.3960949999964214</c:v>
                </c:pt>
                <c:pt idx="65">
                  <c:v>-2.3647349999955622</c:v>
                </c:pt>
                <c:pt idx="66">
                  <c:v>-2.3638349999964703</c:v>
                </c:pt>
                <c:pt idx="67">
                  <c:v>-2.3515849999967031</c:v>
                </c:pt>
                <c:pt idx="68">
                  <c:v>-2.4729799999986426</c:v>
                </c:pt>
                <c:pt idx="69">
                  <c:v>-2.6432449999992969</c:v>
                </c:pt>
                <c:pt idx="70">
                  <c:v>-2.6113850000037928</c:v>
                </c:pt>
                <c:pt idx="71">
                  <c:v>-2.5519249999997555</c:v>
                </c:pt>
                <c:pt idx="72">
                  <c:v>-2.4807999999975436</c:v>
                </c:pt>
                <c:pt idx="73">
                  <c:v>-2.6550799999968149</c:v>
                </c:pt>
                <c:pt idx="74">
                  <c:v>-2.6167599999971571</c:v>
                </c:pt>
                <c:pt idx="75">
                  <c:v>-2.5888300000005984</c:v>
                </c:pt>
                <c:pt idx="77">
                  <c:v>-2.5383199999996577</c:v>
                </c:pt>
                <c:pt idx="79">
                  <c:v>-2.4967799999940326</c:v>
                </c:pt>
                <c:pt idx="80">
                  <c:v>-2.6834549999985029</c:v>
                </c:pt>
                <c:pt idx="81">
                  <c:v>-2.6564550000039162</c:v>
                </c:pt>
                <c:pt idx="83">
                  <c:v>-2.6080999999976484</c:v>
                </c:pt>
                <c:pt idx="84">
                  <c:v>-2.8501749999923049</c:v>
                </c:pt>
                <c:pt idx="85">
                  <c:v>-2.6842850000030012</c:v>
                </c:pt>
                <c:pt idx="86">
                  <c:v>-2.6789100000023609</c:v>
                </c:pt>
                <c:pt idx="87">
                  <c:v>-2.6708349999971688</c:v>
                </c:pt>
                <c:pt idx="88">
                  <c:v>-2.783754999996745</c:v>
                </c:pt>
                <c:pt idx="89">
                  <c:v>-2.771020000000135</c:v>
                </c:pt>
                <c:pt idx="90">
                  <c:v>-2.7010250000021188</c:v>
                </c:pt>
                <c:pt idx="91">
                  <c:v>-2.889999999992142</c:v>
                </c:pt>
                <c:pt idx="92">
                  <c:v>-2.7192499999946449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D4-4ED4-9DDD-73D9B033EF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D4-4ED4-9DDD-73D9B033EF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D4-4ED4-9DDD-73D9B033EF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D4-4ED4-9DDD-73D9B033EF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8">
                  <c:v>-2.3868260213286243</c:v>
                </c:pt>
                <c:pt idx="49">
                  <c:v>-2.4065964478928219</c:v>
                </c:pt>
                <c:pt idx="50">
                  <c:v>-2.4093561641866801</c:v>
                </c:pt>
                <c:pt idx="51">
                  <c:v>-2.4094918879388372</c:v>
                </c:pt>
                <c:pt idx="52">
                  <c:v>-2.4094918879388372</c:v>
                </c:pt>
                <c:pt idx="53">
                  <c:v>-2.4263216332063005</c:v>
                </c:pt>
                <c:pt idx="54">
                  <c:v>-2.4332435445663054</c:v>
                </c:pt>
                <c:pt idx="55">
                  <c:v>-2.4332435445663054</c:v>
                </c:pt>
                <c:pt idx="56">
                  <c:v>-2.4525615586233132</c:v>
                </c:pt>
                <c:pt idx="57">
                  <c:v>-2.4559998936779559</c:v>
                </c:pt>
                <c:pt idx="58">
                  <c:v>-2.4563165824329891</c:v>
                </c:pt>
                <c:pt idx="59">
                  <c:v>-2.4763584565015004</c:v>
                </c:pt>
                <c:pt idx="60">
                  <c:v>-2.4771275577637231</c:v>
                </c:pt>
                <c:pt idx="61">
                  <c:v>-2.4775799702709129</c:v>
                </c:pt>
                <c:pt idx="62">
                  <c:v>-2.4778966590259461</c:v>
                </c:pt>
                <c:pt idx="63">
                  <c:v>-2.4809278228241181</c:v>
                </c:pt>
                <c:pt idx="64">
                  <c:v>-2.4817421653370597</c:v>
                </c:pt>
                <c:pt idx="65">
                  <c:v>-2.4828279553543156</c:v>
                </c:pt>
                <c:pt idx="66">
                  <c:v>-2.4828279553543156</c:v>
                </c:pt>
                <c:pt idx="67">
                  <c:v>-2.4832803678615054</c:v>
                </c:pt>
                <c:pt idx="68">
                  <c:v>-2.5035032069328924</c:v>
                </c:pt>
                <c:pt idx="69">
                  <c:v>-2.5220068784769585</c:v>
                </c:pt>
                <c:pt idx="70">
                  <c:v>-2.5230926684942139</c:v>
                </c:pt>
                <c:pt idx="71">
                  <c:v>-2.5250832835258494</c:v>
                </c:pt>
                <c:pt idx="72">
                  <c:v>-2.5275715523153939</c:v>
                </c:pt>
                <c:pt idx="73">
                  <c:v>-2.5460299826087409</c:v>
                </c:pt>
                <c:pt idx="74">
                  <c:v>-2.5472967376288724</c:v>
                </c:pt>
                <c:pt idx="75">
                  <c:v>-2.5482920451446898</c:v>
                </c:pt>
                <c:pt idx="76">
                  <c:v>-2.5498302476691359</c:v>
                </c:pt>
                <c:pt idx="77">
                  <c:v>-2.5498302476691359</c:v>
                </c:pt>
                <c:pt idx="78">
                  <c:v>-2.5498302476691359</c:v>
                </c:pt>
                <c:pt idx="79">
                  <c:v>-2.5514589326950192</c:v>
                </c:pt>
                <c:pt idx="80">
                  <c:v>-2.6181897775055254</c:v>
                </c:pt>
                <c:pt idx="81">
                  <c:v>-2.6190946025199051</c:v>
                </c:pt>
                <c:pt idx="82">
                  <c:v>-2.6431177066516875</c:v>
                </c:pt>
                <c:pt idx="83">
                  <c:v>-2.6451988041847607</c:v>
                </c:pt>
                <c:pt idx="84">
                  <c:v>-2.6612594481900009</c:v>
                </c:pt>
                <c:pt idx="85">
                  <c:v>-2.6669598457805934</c:v>
                </c:pt>
                <c:pt idx="86">
                  <c:v>-2.6916163274224418</c:v>
                </c:pt>
                <c:pt idx="87">
                  <c:v>-2.7162728090642894</c:v>
                </c:pt>
                <c:pt idx="88">
                  <c:v>-2.7611521297775248</c:v>
                </c:pt>
                <c:pt idx="89">
                  <c:v>-2.7859895764222493</c:v>
                </c:pt>
                <c:pt idx="90">
                  <c:v>-2.8128176380986085</c:v>
                </c:pt>
                <c:pt idx="91">
                  <c:v>-2.8306879321326086</c:v>
                </c:pt>
                <c:pt idx="92">
                  <c:v>-2.8365692947260768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D4-4ED4-9DDD-73D9B033EF8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D4-4ED4-9DDD-73D9B033E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24512"/>
        <c:axId val="1"/>
      </c:scatterChart>
      <c:valAx>
        <c:axId val="831524512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9873417721518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32911392405063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524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43037974683544"/>
          <c:y val="0.91185955529143758"/>
          <c:w val="0.87183544303797467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Leo - O-C Diagr.</a:t>
            </a:r>
          </a:p>
        </c:rich>
      </c:tx>
      <c:layout>
        <c:manualLayout>
          <c:xMode val="edge"/>
          <c:yMode val="edge"/>
          <c:x val="0.3791475828554605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4206399039789"/>
          <c:y val="0.14678942920199375"/>
          <c:w val="0.81832669691495252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-2.137445000000298</c:v>
                </c:pt>
                <c:pt idx="1">
                  <c:v>-1.9909649999972316</c:v>
                </c:pt>
                <c:pt idx="2">
                  <c:v>-2.0283249999993131</c:v>
                </c:pt>
                <c:pt idx="3">
                  <c:v>-1.9686899999978777</c:v>
                </c:pt>
                <c:pt idx="4">
                  <c:v>-2.2083549999988463</c:v>
                </c:pt>
                <c:pt idx="5">
                  <c:v>-2.1083550000003015</c:v>
                </c:pt>
                <c:pt idx="6">
                  <c:v>-2.1762049999997544</c:v>
                </c:pt>
                <c:pt idx="7">
                  <c:v>-2.2140550000003714</c:v>
                </c:pt>
                <c:pt idx="8">
                  <c:v>-2.1851949999982025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0B-4873-958A-F6FDAB6FA7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Active!$D$22:$D$37</c:f>
                <c:numCache>
                  <c:formatCode>General</c:formatCode>
                  <c:ptCount val="16"/>
                  <c:pt idx="4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9">
                  <c:v>-2.0418500000014319</c:v>
                </c:pt>
                <c:pt idx="10">
                  <c:v>-1.8092200000028242</c:v>
                </c:pt>
                <c:pt idx="11">
                  <c:v>-1.9491550000020652</c:v>
                </c:pt>
                <c:pt idx="12">
                  <c:v>-2.1053350000001956</c:v>
                </c:pt>
                <c:pt idx="13">
                  <c:v>-2.2670299999954295</c:v>
                </c:pt>
                <c:pt idx="14">
                  <c:v>-1.848679999995511</c:v>
                </c:pt>
                <c:pt idx="15">
                  <c:v>-2.1745450000016717</c:v>
                </c:pt>
                <c:pt idx="16">
                  <c:v>-1.8338500000027125</c:v>
                </c:pt>
                <c:pt idx="17">
                  <c:v>-2.1097650000010617</c:v>
                </c:pt>
                <c:pt idx="18">
                  <c:v>-2.102324999999837</c:v>
                </c:pt>
                <c:pt idx="19">
                  <c:v>-1.8670199999978649</c:v>
                </c:pt>
                <c:pt idx="20">
                  <c:v>-2.0725249999959487</c:v>
                </c:pt>
                <c:pt idx="21">
                  <c:v>-2.4551100000026054</c:v>
                </c:pt>
                <c:pt idx="22">
                  <c:v>-2.3099350000047707</c:v>
                </c:pt>
                <c:pt idx="23">
                  <c:v>-2.2414299999945797</c:v>
                </c:pt>
                <c:pt idx="24">
                  <c:v>-2.1307700000033947</c:v>
                </c:pt>
                <c:pt idx="25">
                  <c:v>-2.0520000000033178</c:v>
                </c:pt>
                <c:pt idx="26">
                  <c:v>-1.9210800000000745</c:v>
                </c:pt>
                <c:pt idx="27">
                  <c:v>-2.427784999999858</c:v>
                </c:pt>
                <c:pt idx="28">
                  <c:v>-2.4227850000024773</c:v>
                </c:pt>
                <c:pt idx="29">
                  <c:v>-1.7992850000009639</c:v>
                </c:pt>
                <c:pt idx="30">
                  <c:v>-2.0467900000003283</c:v>
                </c:pt>
                <c:pt idx="31">
                  <c:v>-1.8838450000039302</c:v>
                </c:pt>
                <c:pt idx="32">
                  <c:v>-1.8666700000030687</c:v>
                </c:pt>
                <c:pt idx="33">
                  <c:v>-2.0187250000017229</c:v>
                </c:pt>
                <c:pt idx="34">
                  <c:v>-1.975415000000794</c:v>
                </c:pt>
                <c:pt idx="35">
                  <c:v>-1.9734150000003865</c:v>
                </c:pt>
                <c:pt idx="36">
                  <c:v>-1.9724149999965448</c:v>
                </c:pt>
                <c:pt idx="37">
                  <c:v>-2.1213199999983772</c:v>
                </c:pt>
                <c:pt idx="38">
                  <c:v>-2.1574449999970966</c:v>
                </c:pt>
                <c:pt idx="39">
                  <c:v>-2.0691250000018044</c:v>
                </c:pt>
                <c:pt idx="40">
                  <c:v>-2.1725799999985611</c:v>
                </c:pt>
                <c:pt idx="44">
                  <c:v>-2.1674700000003213</c:v>
                </c:pt>
                <c:pt idx="49">
                  <c:v>-2.4591099999961443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0B-4873-958A-F6FDAB6FA7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1">
                  <c:v>-2.1858199999987846</c:v>
                </c:pt>
                <c:pt idx="42">
                  <c:v>-2.1844199999977718</c:v>
                </c:pt>
                <c:pt idx="43">
                  <c:v>-2.1740199999985634</c:v>
                </c:pt>
                <c:pt idx="46">
                  <c:v>-2.3384900000019115</c:v>
                </c:pt>
                <c:pt idx="48">
                  <c:v>-2.3181650000042282</c:v>
                </c:pt>
                <c:pt idx="50">
                  <c:v>-2.3679950000005192</c:v>
                </c:pt>
                <c:pt idx="51">
                  <c:v>-2.3683499999970081</c:v>
                </c:pt>
                <c:pt idx="53">
                  <c:v>-2.5880699999979697</c:v>
                </c:pt>
                <c:pt idx="54">
                  <c:v>-2.3868749999965075</c:v>
                </c:pt>
                <c:pt idx="76">
                  <c:v>-2.5435199999992619</c:v>
                </c:pt>
                <c:pt idx="78">
                  <c:v>-2.538220000002184</c:v>
                </c:pt>
                <c:pt idx="82">
                  <c:v>-2.6685900000011316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0B-4873-958A-F6FDAB6FA7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5">
                  <c:v>-2.1603949999989709</c:v>
                </c:pt>
                <c:pt idx="47">
                  <c:v>-2.2105200000005425</c:v>
                </c:pt>
                <c:pt idx="52">
                  <c:v>-2.3665499999988242</c:v>
                </c:pt>
                <c:pt idx="55">
                  <c:v>-2.3868650000003981</c:v>
                </c:pt>
                <c:pt idx="56">
                  <c:v>-2.5340700000015204</c:v>
                </c:pt>
                <c:pt idx="57">
                  <c:v>-2.4340300000039861</c:v>
                </c:pt>
                <c:pt idx="58">
                  <c:v>-2.4199250000019674</c:v>
                </c:pt>
                <c:pt idx="59">
                  <c:v>-2.5506800000002841</c:v>
                </c:pt>
                <c:pt idx="60">
                  <c:v>-2.5295249999981024</c:v>
                </c:pt>
                <c:pt idx="61">
                  <c:v>-2.5160750000068219</c:v>
                </c:pt>
                <c:pt idx="62">
                  <c:v>-2.5059699999983422</c:v>
                </c:pt>
                <c:pt idx="63">
                  <c:v>-2.4205650000003516</c:v>
                </c:pt>
                <c:pt idx="64">
                  <c:v>-2.3960949999964214</c:v>
                </c:pt>
                <c:pt idx="65">
                  <c:v>-2.3647349999955622</c:v>
                </c:pt>
                <c:pt idx="66">
                  <c:v>-2.3638349999964703</c:v>
                </c:pt>
                <c:pt idx="67">
                  <c:v>-2.3515849999967031</c:v>
                </c:pt>
                <c:pt idx="68">
                  <c:v>-2.4729799999986426</c:v>
                </c:pt>
                <c:pt idx="69">
                  <c:v>-2.6432449999992969</c:v>
                </c:pt>
                <c:pt idx="70">
                  <c:v>-2.6113850000037928</c:v>
                </c:pt>
                <c:pt idx="71">
                  <c:v>-2.5519249999997555</c:v>
                </c:pt>
                <c:pt idx="72">
                  <c:v>-2.4807999999975436</c:v>
                </c:pt>
                <c:pt idx="73">
                  <c:v>-2.6550799999968149</c:v>
                </c:pt>
                <c:pt idx="74">
                  <c:v>-2.6167599999971571</c:v>
                </c:pt>
                <c:pt idx="75">
                  <c:v>-2.5888300000005984</c:v>
                </c:pt>
                <c:pt idx="77">
                  <c:v>-2.5383199999996577</c:v>
                </c:pt>
                <c:pt idx="79">
                  <c:v>-2.4967799999940326</c:v>
                </c:pt>
                <c:pt idx="80">
                  <c:v>-2.6834549999985029</c:v>
                </c:pt>
                <c:pt idx="81">
                  <c:v>-2.6564550000039162</c:v>
                </c:pt>
                <c:pt idx="83">
                  <c:v>-2.6080999999976484</c:v>
                </c:pt>
                <c:pt idx="84">
                  <c:v>-2.8501749999923049</c:v>
                </c:pt>
                <c:pt idx="85">
                  <c:v>-2.6842850000030012</c:v>
                </c:pt>
                <c:pt idx="86">
                  <c:v>-2.6789100000023609</c:v>
                </c:pt>
                <c:pt idx="87">
                  <c:v>-2.6708349999971688</c:v>
                </c:pt>
                <c:pt idx="88">
                  <c:v>-2.783754999996745</c:v>
                </c:pt>
                <c:pt idx="89">
                  <c:v>-2.771020000000135</c:v>
                </c:pt>
                <c:pt idx="90">
                  <c:v>-2.7010250000021188</c:v>
                </c:pt>
                <c:pt idx="91">
                  <c:v>-2.889999999992142</c:v>
                </c:pt>
                <c:pt idx="92">
                  <c:v>-2.7192499999946449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0B-4873-958A-F6FDAB6FA7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0B-4873-958A-F6FDAB6FA7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0B-4873-958A-F6FDAB6FA7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5">
                    <c:v>0</c:v>
                  </c:pt>
                  <c:pt idx="44">
                    <c:v>7.0000000000000001E-3</c:v>
                  </c:pt>
                  <c:pt idx="45">
                    <c:v>0</c:v>
                  </c:pt>
                  <c:pt idx="46">
                    <c:v>2.9999999999999997E-4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8.0000000000000002E-3</c:v>
                  </c:pt>
                  <c:pt idx="50">
                    <c:v>5.9999999999999995E-4</c:v>
                  </c:pt>
                  <c:pt idx="51">
                    <c:v>4.0000000000000002E-4</c:v>
                  </c:pt>
                  <c:pt idx="52">
                    <c:v>4.0000000000000002E-4</c:v>
                  </c:pt>
                  <c:pt idx="53">
                    <c:v>1E-3</c:v>
                  </c:pt>
                  <c:pt idx="54">
                    <c:v>4.0000000000000002E-4</c:v>
                  </c:pt>
                  <c:pt idx="55">
                    <c:v>4.0000000000000002E-4</c:v>
                  </c:pt>
                  <c:pt idx="59">
                    <c:v>1.2999999999999999E-3</c:v>
                  </c:pt>
                  <c:pt idx="60">
                    <c:v>2.9999999999999997E-4</c:v>
                  </c:pt>
                  <c:pt idx="61">
                    <c:v>6.9999999999999999E-4</c:v>
                  </c:pt>
                  <c:pt idx="62">
                    <c:v>5.9999999999999995E-4</c:v>
                  </c:pt>
                  <c:pt idx="64">
                    <c:v>2.9999999999999997E-4</c:v>
                  </c:pt>
                  <c:pt idx="65">
                    <c:v>2.9999999999999997E-4</c:v>
                  </c:pt>
                  <c:pt idx="66">
                    <c:v>2.9999999999999997E-4</c:v>
                  </c:pt>
                  <c:pt idx="67">
                    <c:v>2.9999999999999997E-4</c:v>
                  </c:pt>
                  <c:pt idx="68">
                    <c:v>2.0000000000000001E-4</c:v>
                  </c:pt>
                  <c:pt idx="71">
                    <c:v>5.0000000000000001E-4</c:v>
                  </c:pt>
                  <c:pt idx="7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0B-4873-958A-F6FDAB6FA7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48">
                  <c:v>-2.3868260213286243</c:v>
                </c:pt>
                <c:pt idx="49">
                  <c:v>-2.4065964478928219</c:v>
                </c:pt>
                <c:pt idx="50">
                  <c:v>-2.4093561641866801</c:v>
                </c:pt>
                <c:pt idx="51">
                  <c:v>-2.4094918879388372</c:v>
                </c:pt>
                <c:pt idx="52">
                  <c:v>-2.4094918879388372</c:v>
                </c:pt>
                <c:pt idx="53">
                  <c:v>-2.4263216332063005</c:v>
                </c:pt>
                <c:pt idx="54">
                  <c:v>-2.4332435445663054</c:v>
                </c:pt>
                <c:pt idx="55">
                  <c:v>-2.4332435445663054</c:v>
                </c:pt>
                <c:pt idx="56">
                  <c:v>-2.4525615586233132</c:v>
                </c:pt>
                <c:pt idx="57">
                  <c:v>-2.4559998936779559</c:v>
                </c:pt>
                <c:pt idx="58">
                  <c:v>-2.4563165824329891</c:v>
                </c:pt>
                <c:pt idx="59">
                  <c:v>-2.4763584565015004</c:v>
                </c:pt>
                <c:pt idx="60">
                  <c:v>-2.4771275577637231</c:v>
                </c:pt>
                <c:pt idx="61">
                  <c:v>-2.4775799702709129</c:v>
                </c:pt>
                <c:pt idx="62">
                  <c:v>-2.4778966590259461</c:v>
                </c:pt>
                <c:pt idx="63">
                  <c:v>-2.4809278228241181</c:v>
                </c:pt>
                <c:pt idx="64">
                  <c:v>-2.4817421653370597</c:v>
                </c:pt>
                <c:pt idx="65">
                  <c:v>-2.4828279553543156</c:v>
                </c:pt>
                <c:pt idx="66">
                  <c:v>-2.4828279553543156</c:v>
                </c:pt>
                <c:pt idx="67">
                  <c:v>-2.4832803678615054</c:v>
                </c:pt>
                <c:pt idx="68">
                  <c:v>-2.5035032069328924</c:v>
                </c:pt>
                <c:pt idx="69">
                  <c:v>-2.5220068784769585</c:v>
                </c:pt>
                <c:pt idx="70">
                  <c:v>-2.5230926684942139</c:v>
                </c:pt>
                <c:pt idx="71">
                  <c:v>-2.5250832835258494</c:v>
                </c:pt>
                <c:pt idx="72">
                  <c:v>-2.5275715523153939</c:v>
                </c:pt>
                <c:pt idx="73">
                  <c:v>-2.5460299826087409</c:v>
                </c:pt>
                <c:pt idx="74">
                  <c:v>-2.5472967376288724</c:v>
                </c:pt>
                <c:pt idx="75">
                  <c:v>-2.5482920451446898</c:v>
                </c:pt>
                <c:pt idx="76">
                  <c:v>-2.5498302476691359</c:v>
                </c:pt>
                <c:pt idx="77">
                  <c:v>-2.5498302476691359</c:v>
                </c:pt>
                <c:pt idx="78">
                  <c:v>-2.5498302476691359</c:v>
                </c:pt>
                <c:pt idx="79">
                  <c:v>-2.5514589326950192</c:v>
                </c:pt>
                <c:pt idx="80">
                  <c:v>-2.6181897775055254</c:v>
                </c:pt>
                <c:pt idx="81">
                  <c:v>-2.6190946025199051</c:v>
                </c:pt>
                <c:pt idx="82">
                  <c:v>-2.6431177066516875</c:v>
                </c:pt>
                <c:pt idx="83">
                  <c:v>-2.6451988041847607</c:v>
                </c:pt>
                <c:pt idx="84">
                  <c:v>-2.6612594481900009</c:v>
                </c:pt>
                <c:pt idx="85">
                  <c:v>-2.6669598457805934</c:v>
                </c:pt>
                <c:pt idx="86">
                  <c:v>-2.6916163274224418</c:v>
                </c:pt>
                <c:pt idx="87">
                  <c:v>-2.7162728090642894</c:v>
                </c:pt>
                <c:pt idx="88">
                  <c:v>-2.7611521297775248</c:v>
                </c:pt>
                <c:pt idx="89">
                  <c:v>-2.7859895764222493</c:v>
                </c:pt>
                <c:pt idx="90">
                  <c:v>-2.8128176380986085</c:v>
                </c:pt>
                <c:pt idx="91">
                  <c:v>-2.8306879321326086</c:v>
                </c:pt>
                <c:pt idx="92">
                  <c:v>-2.8365692947260768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0B-4873-958A-F6FDAB6FA79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-8061.5</c:v>
                </c:pt>
                <c:pt idx="1">
                  <c:v>-3125.5</c:v>
                </c:pt>
                <c:pt idx="2">
                  <c:v>-2077.5</c:v>
                </c:pt>
                <c:pt idx="3">
                  <c:v>-1783</c:v>
                </c:pt>
                <c:pt idx="4">
                  <c:v>1.5</c:v>
                </c:pt>
                <c:pt idx="5">
                  <c:v>1.5</c:v>
                </c:pt>
                <c:pt idx="6">
                  <c:v>6.5</c:v>
                </c:pt>
                <c:pt idx="7">
                  <c:v>11.5</c:v>
                </c:pt>
                <c:pt idx="8">
                  <c:v>13.5</c:v>
                </c:pt>
                <c:pt idx="9">
                  <c:v>3605</c:v>
                </c:pt>
                <c:pt idx="10">
                  <c:v>3646</c:v>
                </c:pt>
                <c:pt idx="11">
                  <c:v>4441.5</c:v>
                </c:pt>
                <c:pt idx="12">
                  <c:v>6515.5</c:v>
                </c:pt>
                <c:pt idx="13">
                  <c:v>7279</c:v>
                </c:pt>
                <c:pt idx="14">
                  <c:v>7424</c:v>
                </c:pt>
                <c:pt idx="15">
                  <c:v>7568.5</c:v>
                </c:pt>
                <c:pt idx="16">
                  <c:v>7705</c:v>
                </c:pt>
                <c:pt idx="17">
                  <c:v>8814.5</c:v>
                </c:pt>
                <c:pt idx="18">
                  <c:v>9122.5</c:v>
                </c:pt>
                <c:pt idx="19">
                  <c:v>9586</c:v>
                </c:pt>
                <c:pt idx="20">
                  <c:v>10382.5</c:v>
                </c:pt>
                <c:pt idx="21">
                  <c:v>10423</c:v>
                </c:pt>
                <c:pt idx="22">
                  <c:v>10495.5</c:v>
                </c:pt>
                <c:pt idx="23">
                  <c:v>10499</c:v>
                </c:pt>
                <c:pt idx="24">
                  <c:v>10561</c:v>
                </c:pt>
                <c:pt idx="25">
                  <c:v>10600</c:v>
                </c:pt>
                <c:pt idx="26">
                  <c:v>10644</c:v>
                </c:pt>
                <c:pt idx="27">
                  <c:v>10700.5</c:v>
                </c:pt>
                <c:pt idx="28">
                  <c:v>10700.5</c:v>
                </c:pt>
                <c:pt idx="29">
                  <c:v>10950.5</c:v>
                </c:pt>
                <c:pt idx="30">
                  <c:v>11147</c:v>
                </c:pt>
                <c:pt idx="31">
                  <c:v>11458.5</c:v>
                </c:pt>
                <c:pt idx="32">
                  <c:v>11731</c:v>
                </c:pt>
                <c:pt idx="33">
                  <c:v>11942.5</c:v>
                </c:pt>
                <c:pt idx="34">
                  <c:v>11959.5</c:v>
                </c:pt>
                <c:pt idx="35">
                  <c:v>11959.5</c:v>
                </c:pt>
                <c:pt idx="36">
                  <c:v>11959.5</c:v>
                </c:pt>
                <c:pt idx="37">
                  <c:v>12176</c:v>
                </c:pt>
                <c:pt idx="38">
                  <c:v>12238.5</c:v>
                </c:pt>
                <c:pt idx="39">
                  <c:v>12462.5</c:v>
                </c:pt>
                <c:pt idx="40">
                  <c:v>12694</c:v>
                </c:pt>
                <c:pt idx="41">
                  <c:v>13766</c:v>
                </c:pt>
                <c:pt idx="42">
                  <c:v>13766</c:v>
                </c:pt>
                <c:pt idx="43">
                  <c:v>13766</c:v>
                </c:pt>
                <c:pt idx="44">
                  <c:v>13771</c:v>
                </c:pt>
                <c:pt idx="45">
                  <c:v>14583.5</c:v>
                </c:pt>
                <c:pt idx="46">
                  <c:v>15327</c:v>
                </c:pt>
                <c:pt idx="47">
                  <c:v>15376</c:v>
                </c:pt>
                <c:pt idx="48">
                  <c:v>15604.5</c:v>
                </c:pt>
                <c:pt idx="49">
                  <c:v>15823</c:v>
                </c:pt>
                <c:pt idx="50">
                  <c:v>15853.5</c:v>
                </c:pt>
                <c:pt idx="51">
                  <c:v>15855</c:v>
                </c:pt>
                <c:pt idx="52">
                  <c:v>15855</c:v>
                </c:pt>
                <c:pt idx="53">
                  <c:v>16041</c:v>
                </c:pt>
                <c:pt idx="54">
                  <c:v>16117.5</c:v>
                </c:pt>
                <c:pt idx="55">
                  <c:v>16117.5</c:v>
                </c:pt>
                <c:pt idx="56">
                  <c:v>16331</c:v>
                </c:pt>
                <c:pt idx="57">
                  <c:v>16369</c:v>
                </c:pt>
                <c:pt idx="58">
                  <c:v>16372.5</c:v>
                </c:pt>
                <c:pt idx="59">
                  <c:v>16594</c:v>
                </c:pt>
                <c:pt idx="60">
                  <c:v>16602.5</c:v>
                </c:pt>
                <c:pt idx="61">
                  <c:v>16607.5</c:v>
                </c:pt>
                <c:pt idx="62">
                  <c:v>16611</c:v>
                </c:pt>
                <c:pt idx="63">
                  <c:v>16644.5</c:v>
                </c:pt>
                <c:pt idx="64">
                  <c:v>16653.5</c:v>
                </c:pt>
                <c:pt idx="65">
                  <c:v>16665.5</c:v>
                </c:pt>
                <c:pt idx="66">
                  <c:v>16665.5</c:v>
                </c:pt>
                <c:pt idx="67">
                  <c:v>16670.5</c:v>
                </c:pt>
                <c:pt idx="68">
                  <c:v>16894</c:v>
                </c:pt>
                <c:pt idx="69">
                  <c:v>17098.5</c:v>
                </c:pt>
                <c:pt idx="70">
                  <c:v>17110.5</c:v>
                </c:pt>
                <c:pt idx="71">
                  <c:v>17132.5</c:v>
                </c:pt>
                <c:pt idx="72">
                  <c:v>17160</c:v>
                </c:pt>
                <c:pt idx="73">
                  <c:v>17364</c:v>
                </c:pt>
                <c:pt idx="74">
                  <c:v>17378</c:v>
                </c:pt>
                <c:pt idx="75">
                  <c:v>17389</c:v>
                </c:pt>
                <c:pt idx="76">
                  <c:v>17406</c:v>
                </c:pt>
                <c:pt idx="77">
                  <c:v>17406</c:v>
                </c:pt>
                <c:pt idx="78">
                  <c:v>17406</c:v>
                </c:pt>
                <c:pt idx="79">
                  <c:v>17424</c:v>
                </c:pt>
                <c:pt idx="80">
                  <c:v>18161.5</c:v>
                </c:pt>
                <c:pt idx="81">
                  <c:v>18171.5</c:v>
                </c:pt>
                <c:pt idx="82">
                  <c:v>18437</c:v>
                </c:pt>
                <c:pt idx="83">
                  <c:v>18460</c:v>
                </c:pt>
                <c:pt idx="84">
                  <c:v>18637.5</c:v>
                </c:pt>
                <c:pt idx="85">
                  <c:v>18700.5</c:v>
                </c:pt>
                <c:pt idx="86">
                  <c:v>18973</c:v>
                </c:pt>
                <c:pt idx="87">
                  <c:v>19245.5</c:v>
                </c:pt>
                <c:pt idx="88">
                  <c:v>19741.5</c:v>
                </c:pt>
                <c:pt idx="89">
                  <c:v>20016</c:v>
                </c:pt>
                <c:pt idx="90">
                  <c:v>20312.5</c:v>
                </c:pt>
                <c:pt idx="91">
                  <c:v>20510</c:v>
                </c:pt>
                <c:pt idx="92">
                  <c:v>20575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0B-4873-958A-F6FDAB6FA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525824"/>
        <c:axId val="1"/>
      </c:scatterChart>
      <c:valAx>
        <c:axId val="831525824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16828583630836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52922590837282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525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26556869964713"/>
          <c:y val="0.9204921861831491"/>
          <c:w val="0.8704594627093413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Leo - O-C Diagr.</a:t>
            </a:r>
          </a:p>
        </c:rich>
      </c:tx>
      <c:layout>
        <c:manualLayout>
          <c:xMode val="edge"/>
          <c:yMode val="edge"/>
          <c:x val="0.3791475828554605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207515994514"/>
          <c:y val="0.15"/>
          <c:w val="0.81200757184225025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2E-403A-B309-1639423208D8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BRNO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B!$D$22:$D$44</c:f>
                <c:numCache>
                  <c:formatCode>General</c:formatCode>
                  <c:ptCount val="23"/>
                  <c:pt idx="7">
                    <c:v>7.0000000000000001E-3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B!$D$22:$D$44</c:f>
                <c:numCache>
                  <c:formatCode>General</c:formatCode>
                  <c:ptCount val="23"/>
                  <c:pt idx="7">
                    <c:v>7.0000000000000001E-3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B!$I$21:$I$993</c:f>
              <c:numCache>
                <c:formatCode>General</c:formatCode>
                <c:ptCount val="973"/>
                <c:pt idx="2">
                  <c:v>-1.296895452105673E-2</c:v>
                </c:pt>
                <c:pt idx="3">
                  <c:v>3.5195886193832848E-2</c:v>
                </c:pt>
                <c:pt idx="4">
                  <c:v>-9.0087171804043464E-2</c:v>
                </c:pt>
                <c:pt idx="6">
                  <c:v>-6.6326504093012773E-3</c:v>
                </c:pt>
                <c:pt idx="7">
                  <c:v>-8.4829084255034104E-2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2E-403A-B309-1639423208D8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B!$J$21:$J$993</c:f>
              <c:numCache>
                <c:formatCode>General</c:formatCode>
                <c:ptCount val="973"/>
                <c:pt idx="1">
                  <c:v>0.11600964486569865</c:v>
                </c:pt>
                <c:pt idx="5">
                  <c:v>-0.11939290448935935</c:v>
                </c:pt>
                <c:pt idx="8">
                  <c:v>3.7790530208440032E-2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2E-403A-B309-1639423208D8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B!$K$21:$K$993</c:f>
              <c:numCache>
                <c:formatCode>General</c:formatCode>
                <c:ptCount val="973"/>
                <c:pt idx="9">
                  <c:v>3.6543009424349293E-2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2E-403A-B309-1639423208D8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2E-403A-B309-1639423208D8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2E-403A-B309-1639423208D8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7.0000000000000001E-3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2E-403A-B309-1639423208D8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11730.5</c:v>
                </c:pt>
                <c:pt idx="2">
                  <c:v>11942</c:v>
                </c:pt>
                <c:pt idx="3">
                  <c:v>11959</c:v>
                </c:pt>
                <c:pt idx="4">
                  <c:v>12175.5</c:v>
                </c:pt>
                <c:pt idx="5">
                  <c:v>12238</c:v>
                </c:pt>
                <c:pt idx="6">
                  <c:v>12462</c:v>
                </c:pt>
                <c:pt idx="7">
                  <c:v>12693.5</c:v>
                </c:pt>
                <c:pt idx="8">
                  <c:v>13770.5</c:v>
                </c:pt>
                <c:pt idx="9">
                  <c:v>15326.5</c:v>
                </c:pt>
              </c:numCache>
            </c:numRef>
          </c:xVal>
          <c:yVal>
            <c:numRef>
              <c:f>B!$O$21:$O$993</c:f>
              <c:numCache>
                <c:formatCode>General</c:formatCode>
                <c:ptCount val="973"/>
                <c:pt idx="0">
                  <c:v>-8.8371694807808081E-3</c:v>
                </c:pt>
                <c:pt idx="1">
                  <c:v>-8.8371694785912749E-3</c:v>
                </c:pt>
                <c:pt idx="2">
                  <c:v>-8.8371694785517978E-3</c:v>
                </c:pt>
                <c:pt idx="3">
                  <c:v>-8.8371694785486232E-3</c:v>
                </c:pt>
                <c:pt idx="4">
                  <c:v>-8.8371694785082128E-3</c:v>
                </c:pt>
                <c:pt idx="5">
                  <c:v>-8.8371694784965468E-3</c:v>
                </c:pt>
                <c:pt idx="6">
                  <c:v>-8.8371694784547365E-3</c:v>
                </c:pt>
                <c:pt idx="7">
                  <c:v>-8.8371694784115263E-3</c:v>
                </c:pt>
                <c:pt idx="8">
                  <c:v>-8.8371694782105013E-3</c:v>
                </c:pt>
                <c:pt idx="9">
                  <c:v>-8.8371694779200687E-3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2E-403A-B309-163942320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829128"/>
        <c:axId val="1"/>
      </c:scatterChart>
      <c:valAx>
        <c:axId val="811829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8740116016301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52922590837282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829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587677725118483"/>
          <c:y val="0.91874999999999996"/>
          <c:w val="0.92259083728278046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38100</xdr:rowOff>
    </xdr:from>
    <xdr:to>
      <xdr:col>17</xdr:col>
      <xdr:colOff>647700</xdr:colOff>
      <xdr:row>18</xdr:row>
      <xdr:rowOff>38100</xdr:rowOff>
    </xdr:to>
    <xdr:graphicFrame macro="">
      <xdr:nvGraphicFramePr>
        <xdr:cNvPr id="50188" name="Chart 1">
          <a:extLst>
            <a:ext uri="{FF2B5EF4-FFF2-40B4-BE49-F238E27FC236}">
              <a16:creationId xmlns:a16="http://schemas.microsoft.com/office/drawing/2014/main" id="{98EC3E25-C3D8-6511-1306-DE64B835E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676275</xdr:colOff>
      <xdr:row>0</xdr:row>
      <xdr:rowOff>28576</xdr:rowOff>
    </xdr:from>
    <xdr:to>
      <xdr:col>27</xdr:col>
      <xdr:colOff>9525</xdr:colOff>
      <xdr:row>18</xdr:row>
      <xdr:rowOff>28576</xdr:rowOff>
    </xdr:to>
    <xdr:graphicFrame macro="">
      <xdr:nvGraphicFramePr>
        <xdr:cNvPr id="50189" name="Chart 3">
          <a:extLst>
            <a:ext uri="{FF2B5EF4-FFF2-40B4-BE49-F238E27FC236}">
              <a16:creationId xmlns:a16="http://schemas.microsoft.com/office/drawing/2014/main" id="{D88882FA-F7A5-0E9E-EC94-7BBACD2FE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14</xdr:col>
      <xdr:colOff>371475</xdr:colOff>
      <xdr:row>18</xdr:row>
      <xdr:rowOff>19050</xdr:rowOff>
    </xdr:to>
    <xdr:graphicFrame macro="">
      <xdr:nvGraphicFramePr>
        <xdr:cNvPr id="52230" name="Chart 1">
          <a:extLst>
            <a:ext uri="{FF2B5EF4-FFF2-40B4-BE49-F238E27FC236}">
              <a16:creationId xmlns:a16="http://schemas.microsoft.com/office/drawing/2014/main" id="{BC90E79C-8119-C1A1-3706-447A2DBAC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vsolj.cetus-net.org/no46.pdf" TargetMode="External"/><Relationship Id="rId18" Type="http://schemas.openxmlformats.org/officeDocument/2006/relationships/hyperlink" Target="http://vsolj.cetus-net.org/no48.pdf" TargetMode="External"/><Relationship Id="rId26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www.konkoly.hu/cgi-bin/IBVS?5910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5910" TargetMode="External"/><Relationship Id="rId25" Type="http://schemas.openxmlformats.org/officeDocument/2006/relationships/hyperlink" Target="http://www.konkoly.hu/cgi-bin/IBVS?5945" TargetMode="External"/><Relationship Id="rId33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konkoly.hu/cgi-bin/IBVS?5910" TargetMode="External"/><Relationship Id="rId20" Type="http://schemas.openxmlformats.org/officeDocument/2006/relationships/hyperlink" Target="http://www.konkoly.hu/cgi-bin/IBVS?5910" TargetMode="External"/><Relationship Id="rId29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43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www.konkoly.hu/cgi-bin/IBVS?5972" TargetMode="External"/><Relationship Id="rId32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konkoly.hu/cgi-bin/IBVS?5910" TargetMode="External"/><Relationship Id="rId23" Type="http://schemas.openxmlformats.org/officeDocument/2006/relationships/hyperlink" Target="http://www.konkoly.hu/cgi-bin/IBVS?5972" TargetMode="External"/><Relationship Id="rId28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konkoly.hu/cgi-bin/IBVS?5910" TargetMode="External"/><Relationship Id="rId31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www.konkoly.hu/cgi-bin/IBVS?5676" TargetMode="External"/><Relationship Id="rId9" Type="http://schemas.openxmlformats.org/officeDocument/2006/relationships/hyperlink" Target="http://www.konkoly.hu/cgi-bin/IBVS?5741" TargetMode="External"/><Relationship Id="rId14" Type="http://schemas.openxmlformats.org/officeDocument/2006/relationships/hyperlink" Target="http://www.konkoly.hu/cgi-bin/IBVS?5910" TargetMode="External"/><Relationship Id="rId22" Type="http://schemas.openxmlformats.org/officeDocument/2006/relationships/hyperlink" Target="http://www.konkoly.hu/cgi-bin/IBVS?5910" TargetMode="External"/><Relationship Id="rId27" Type="http://schemas.openxmlformats.org/officeDocument/2006/relationships/hyperlink" Target="http://www.konkoly.hu/cgi-bin/IBVS?5992" TargetMode="External"/><Relationship Id="rId30" Type="http://schemas.openxmlformats.org/officeDocument/2006/relationships/hyperlink" Target="http://www.bav-astro.de/sfs/BAVM_link.php?BAVMnr=22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2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5.85546875" customWidth="1"/>
    <col min="2" max="2" width="5.140625" style="6" customWidth="1"/>
    <col min="3" max="3" width="12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</row>
    <row r="2" spans="1:6" s="37" customFormat="1" ht="12.95" customHeight="1" x14ac:dyDescent="0.2">
      <c r="A2" s="37" t="s">
        <v>25</v>
      </c>
      <c r="B2" s="38" t="s">
        <v>45</v>
      </c>
      <c r="C2" s="39" t="s">
        <v>48</v>
      </c>
    </row>
    <row r="3" spans="1:6" s="37" customFormat="1" ht="12.95" customHeight="1" thickBot="1" x14ac:dyDescent="0.25">
      <c r="B3" s="40"/>
    </row>
    <row r="4" spans="1:6" s="37" customFormat="1" ht="12.95" customHeight="1" thickTop="1" thickBot="1" x14ac:dyDescent="0.25">
      <c r="A4" s="41" t="s">
        <v>0</v>
      </c>
      <c r="B4" s="40"/>
      <c r="C4" s="42">
        <v>31162.5</v>
      </c>
      <c r="D4" s="43">
        <v>1.40557</v>
      </c>
    </row>
    <row r="5" spans="1:6" s="37" customFormat="1" ht="12.95" customHeight="1" thickTop="1" x14ac:dyDescent="0.2">
      <c r="A5" s="39" t="s">
        <v>54</v>
      </c>
      <c r="C5" s="44">
        <v>-9.5</v>
      </c>
      <c r="D5" s="37" t="s">
        <v>55</v>
      </c>
    </row>
    <row r="6" spans="1:6" s="37" customFormat="1" ht="12.95" customHeight="1" x14ac:dyDescent="0.2">
      <c r="A6" s="41" t="s">
        <v>1</v>
      </c>
      <c r="B6" s="40"/>
    </row>
    <row r="7" spans="1:6" s="37" customFormat="1" ht="12.95" customHeight="1" x14ac:dyDescent="0.2">
      <c r="A7" s="37" t="s">
        <v>2</v>
      </c>
      <c r="B7" s="40"/>
      <c r="C7" s="37">
        <f>+C4</f>
        <v>31162.5</v>
      </c>
    </row>
    <row r="8" spans="1:6" s="37" customFormat="1" ht="12.95" customHeight="1" x14ac:dyDescent="0.2">
      <c r="A8" s="37" t="s">
        <v>3</v>
      </c>
      <c r="B8" s="40"/>
      <c r="C8" s="37">
        <f>+D4</f>
        <v>1.40557</v>
      </c>
    </row>
    <row r="9" spans="1:6" s="37" customFormat="1" ht="12.95" customHeight="1" x14ac:dyDescent="0.2">
      <c r="A9" s="45" t="s">
        <v>60</v>
      </c>
      <c r="B9" s="46">
        <v>69</v>
      </c>
      <c r="C9" s="47" t="str">
        <f>"F"&amp;B9</f>
        <v>F69</v>
      </c>
      <c r="D9" s="48" t="str">
        <f>"G"&amp;B9</f>
        <v>G69</v>
      </c>
    </row>
    <row r="10" spans="1:6" s="37" customFormat="1" ht="12.95" customHeight="1" thickBot="1" x14ac:dyDescent="0.25">
      <c r="C10" s="49" t="s">
        <v>20</v>
      </c>
      <c r="D10" s="49" t="s">
        <v>21</v>
      </c>
    </row>
    <row r="11" spans="1:6" s="37" customFormat="1" ht="12.95" customHeight="1" x14ac:dyDescent="0.2">
      <c r="A11" s="37" t="s">
        <v>16</v>
      </c>
      <c r="C11" s="48">
        <f ca="1">INTERCEPT(INDIRECT($D$9):G990,INDIRECT($C$9):F990)</f>
        <v>-0.9748918276397518</v>
      </c>
      <c r="D11" s="40"/>
    </row>
    <row r="12" spans="1:6" s="37" customFormat="1" ht="12.95" customHeight="1" x14ac:dyDescent="0.2">
      <c r="A12" s="37" t="s">
        <v>17</v>
      </c>
      <c r="C12" s="48">
        <f ca="1">SLOPE(INDIRECT($D$9):G990,INDIRECT($C$9):F990)</f>
        <v>-9.0482501437974482E-5</v>
      </c>
      <c r="D12" s="40"/>
    </row>
    <row r="13" spans="1:6" s="37" customFormat="1" ht="12.95" customHeight="1" x14ac:dyDescent="0.2">
      <c r="A13" s="37" t="s">
        <v>19</v>
      </c>
      <c r="C13" s="40" t="s">
        <v>14</v>
      </c>
    </row>
    <row r="14" spans="1:6" s="37" customFormat="1" ht="12.95" customHeight="1" x14ac:dyDescent="0.2"/>
    <row r="15" spans="1:6" s="37" customFormat="1" ht="12.95" customHeight="1" x14ac:dyDescent="0.2">
      <c r="A15" s="50" t="s">
        <v>18</v>
      </c>
      <c r="C15" s="51">
        <f ca="1">(C7+C11)+(C8+C12)*INT(MAX(F21:F3531))</f>
        <v>60079.266180705272</v>
      </c>
      <c r="E15" s="52" t="s">
        <v>65</v>
      </c>
      <c r="F15" s="44">
        <v>1</v>
      </c>
    </row>
    <row r="16" spans="1:6" s="37" customFormat="1" ht="12.95" customHeight="1" x14ac:dyDescent="0.2">
      <c r="A16" s="41" t="s">
        <v>4</v>
      </c>
      <c r="C16" s="53">
        <f ca="1">+C8+C12</f>
        <v>1.4054795174985619</v>
      </c>
      <c r="E16" s="52" t="s">
        <v>56</v>
      </c>
      <c r="F16" s="54">
        <f ca="1">NOW()+15018.5+$C$5/24</f>
        <v>60357.830856249995</v>
      </c>
    </row>
    <row r="17" spans="1:32" s="37" customFormat="1" ht="12.95" customHeight="1" thickBot="1" x14ac:dyDescent="0.25">
      <c r="A17" s="52" t="s">
        <v>52</v>
      </c>
      <c r="C17" s="37">
        <f>COUNT(C21:C2189)</f>
        <v>93</v>
      </c>
      <c r="E17" s="52" t="s">
        <v>66</v>
      </c>
      <c r="F17" s="54">
        <f ca="1">ROUND(2*(F16-$C$7)/$C$8,0)/2+F15</f>
        <v>20772</v>
      </c>
    </row>
    <row r="18" spans="1:32" s="37" customFormat="1" ht="12.95" customHeight="1" thickTop="1" thickBot="1" x14ac:dyDescent="0.25">
      <c r="A18" s="41" t="s">
        <v>5</v>
      </c>
      <c r="C18" s="42">
        <f ca="1">+C15</f>
        <v>60079.266180705272</v>
      </c>
      <c r="D18" s="43">
        <f ca="1">+C16</f>
        <v>1.4054795174985619</v>
      </c>
      <c r="E18" s="52" t="s">
        <v>57</v>
      </c>
      <c r="F18" s="48">
        <f ca="1">ROUND(2*(F16-$C$15)/$C$16,0)/2+F15</f>
        <v>199</v>
      </c>
    </row>
    <row r="19" spans="1:32" s="37" customFormat="1" ht="12.95" customHeight="1" thickTop="1" x14ac:dyDescent="0.2">
      <c r="B19" s="40"/>
      <c r="E19" s="52" t="s">
        <v>58</v>
      </c>
      <c r="F19" s="55">
        <f ca="1">+$C$15+$C$16*F18-15018.5-$C$5/24</f>
        <v>45340.852438020818</v>
      </c>
    </row>
    <row r="20" spans="1:32" s="37" customFormat="1" ht="12.95" customHeight="1" thickBot="1" x14ac:dyDescent="0.25">
      <c r="A20" s="49" t="s">
        <v>6</v>
      </c>
      <c r="B20" s="49" t="s">
        <v>7</v>
      </c>
      <c r="C20" s="49" t="s">
        <v>8</v>
      </c>
      <c r="D20" s="49" t="s">
        <v>13</v>
      </c>
      <c r="E20" s="49" t="s">
        <v>9</v>
      </c>
      <c r="F20" s="49" t="s">
        <v>10</v>
      </c>
      <c r="G20" s="49" t="s">
        <v>11</v>
      </c>
      <c r="H20" s="56" t="s">
        <v>81</v>
      </c>
      <c r="I20" s="56" t="s">
        <v>84</v>
      </c>
      <c r="J20" s="56" t="s">
        <v>78</v>
      </c>
      <c r="K20" s="56" t="s">
        <v>76</v>
      </c>
      <c r="L20" s="56" t="s">
        <v>432</v>
      </c>
      <c r="M20" s="56" t="s">
        <v>433</v>
      </c>
      <c r="N20" s="56" t="s">
        <v>434</v>
      </c>
      <c r="O20" s="56" t="s">
        <v>23</v>
      </c>
      <c r="P20" s="57" t="s">
        <v>22</v>
      </c>
      <c r="Q20" s="49" t="s">
        <v>15</v>
      </c>
      <c r="R20" s="57" t="s">
        <v>429</v>
      </c>
    </row>
    <row r="21" spans="1:32" s="37" customFormat="1" ht="12.95" customHeight="1" x14ac:dyDescent="0.2">
      <c r="A21" s="58" t="s">
        <v>91</v>
      </c>
      <c r="B21" s="59" t="s">
        <v>44</v>
      </c>
      <c r="C21" s="60">
        <v>19829.36</v>
      </c>
      <c r="D21" s="61"/>
      <c r="E21" s="15">
        <f t="shared" ref="E21:E52" si="0">+(C21-C$7)/C$8</f>
        <v>-8063.020696229999</v>
      </c>
      <c r="F21" s="62">
        <f t="shared" ref="F21:F52" si="1">ROUND(2*E21,0)/2+1.5</f>
        <v>-8061.5</v>
      </c>
      <c r="G21" s="37">
        <f t="shared" ref="G21:G52" si="2">+C21-(C$7+F21*C$8)</f>
        <v>-2.137445000000298</v>
      </c>
      <c r="H21" s="37">
        <f t="shared" ref="H21:H29" si="3">G21</f>
        <v>-2.137445000000298</v>
      </c>
      <c r="Q21" s="63">
        <f t="shared" ref="Q21:Q52" si="4">+C21-15018.5</f>
        <v>4810.8600000000006</v>
      </c>
      <c r="AA21" s="37" t="s">
        <v>30</v>
      </c>
      <c r="AF21" s="37" t="s">
        <v>35</v>
      </c>
    </row>
    <row r="22" spans="1:32" s="37" customFormat="1" ht="12.95" customHeight="1" x14ac:dyDescent="0.2">
      <c r="A22" s="58" t="s">
        <v>96</v>
      </c>
      <c r="B22" s="59" t="s">
        <v>51</v>
      </c>
      <c r="C22" s="60">
        <v>26767.4</v>
      </c>
      <c r="D22" s="61"/>
      <c r="E22" s="15">
        <f t="shared" si="0"/>
        <v>-3126.9164822812086</v>
      </c>
      <c r="F22" s="62">
        <f t="shared" si="1"/>
        <v>-3125.5</v>
      </c>
      <c r="G22" s="37">
        <f t="shared" si="2"/>
        <v>-1.9909649999972316</v>
      </c>
      <c r="H22" s="37">
        <f t="shared" si="3"/>
        <v>-1.9909649999972316</v>
      </c>
      <c r="Q22" s="63">
        <f t="shared" si="4"/>
        <v>11748.900000000001</v>
      </c>
    </row>
    <row r="23" spans="1:32" s="37" customFormat="1" ht="12.95" customHeight="1" x14ac:dyDescent="0.2">
      <c r="A23" s="58" t="s">
        <v>96</v>
      </c>
      <c r="B23" s="59" t="s">
        <v>51</v>
      </c>
      <c r="C23" s="60">
        <v>28240.400000000001</v>
      </c>
      <c r="D23" s="61"/>
      <c r="E23" s="15">
        <f t="shared" si="0"/>
        <v>-2078.9430622452091</v>
      </c>
      <c r="F23" s="62">
        <f t="shared" si="1"/>
        <v>-2077.5</v>
      </c>
      <c r="G23" s="37">
        <f t="shared" si="2"/>
        <v>-2.0283249999993131</v>
      </c>
      <c r="H23" s="37">
        <f t="shared" si="3"/>
        <v>-2.0283249999993131</v>
      </c>
      <c r="Q23" s="63">
        <f t="shared" si="4"/>
        <v>13221.900000000001</v>
      </c>
    </row>
    <row r="24" spans="1:32" s="37" customFormat="1" ht="12.95" customHeight="1" x14ac:dyDescent="0.2">
      <c r="A24" s="58" t="s">
        <v>96</v>
      </c>
      <c r="B24" s="59" t="s">
        <v>44</v>
      </c>
      <c r="C24" s="60">
        <v>28654.400000000001</v>
      </c>
      <c r="D24" s="61"/>
      <c r="E24" s="15">
        <f t="shared" si="0"/>
        <v>-1784.4006346179831</v>
      </c>
      <c r="F24" s="62">
        <f t="shared" si="1"/>
        <v>-1783</v>
      </c>
      <c r="G24" s="37">
        <f t="shared" si="2"/>
        <v>-1.9686899999978777</v>
      </c>
      <c r="H24" s="37">
        <f t="shared" si="3"/>
        <v>-1.9686899999978777</v>
      </c>
      <c r="Q24" s="63">
        <f t="shared" si="4"/>
        <v>13635.900000000001</v>
      </c>
    </row>
    <row r="25" spans="1:32" s="37" customFormat="1" ht="12.95" customHeight="1" x14ac:dyDescent="0.2">
      <c r="A25" s="58" t="s">
        <v>105</v>
      </c>
      <c r="B25" s="59" t="s">
        <v>51</v>
      </c>
      <c r="C25" s="60">
        <v>31162.400000000001</v>
      </c>
      <c r="D25" s="61"/>
      <c r="E25" s="15">
        <f t="shared" si="0"/>
        <v>-7.1145513918584494E-2</v>
      </c>
      <c r="F25" s="62">
        <f t="shared" si="1"/>
        <v>1.5</v>
      </c>
      <c r="G25" s="37">
        <f t="shared" si="2"/>
        <v>-2.2083549999988463</v>
      </c>
      <c r="H25" s="37">
        <f t="shared" si="3"/>
        <v>-2.2083549999988463</v>
      </c>
      <c r="Q25" s="63">
        <f t="shared" si="4"/>
        <v>16143.900000000001</v>
      </c>
      <c r="AA25" s="37" t="s">
        <v>30</v>
      </c>
      <c r="AB25" s="37">
        <v>11</v>
      </c>
      <c r="AD25" s="37" t="s">
        <v>31</v>
      </c>
      <c r="AF25" s="37" t="s">
        <v>33</v>
      </c>
    </row>
    <row r="26" spans="1:32" s="37" customFormat="1" ht="12.95" customHeight="1" x14ac:dyDescent="0.2">
      <c r="A26" s="37" t="s">
        <v>12</v>
      </c>
      <c r="B26" s="40"/>
      <c r="C26" s="61">
        <v>31162.5</v>
      </c>
      <c r="D26" s="61" t="s">
        <v>14</v>
      </c>
      <c r="E26" s="37">
        <f t="shared" si="0"/>
        <v>0</v>
      </c>
      <c r="F26" s="62">
        <f t="shared" si="1"/>
        <v>1.5</v>
      </c>
      <c r="G26" s="37">
        <f t="shared" si="2"/>
        <v>-2.1083550000003015</v>
      </c>
      <c r="H26" s="15">
        <f t="shared" si="3"/>
        <v>-2.1083550000003015</v>
      </c>
      <c r="Q26" s="63">
        <f t="shared" si="4"/>
        <v>16144</v>
      </c>
    </row>
    <row r="27" spans="1:32" s="37" customFormat="1" ht="12.95" customHeight="1" x14ac:dyDescent="0.2">
      <c r="A27" s="58" t="s">
        <v>105</v>
      </c>
      <c r="B27" s="59" t="s">
        <v>51</v>
      </c>
      <c r="C27" s="60">
        <v>31169.46</v>
      </c>
      <c r="D27" s="61"/>
      <c r="E27" s="15">
        <f t="shared" si="0"/>
        <v>4.9517277688049166</v>
      </c>
      <c r="F27" s="62">
        <f t="shared" si="1"/>
        <v>6.5</v>
      </c>
      <c r="G27" s="37">
        <f t="shared" si="2"/>
        <v>-2.1762049999997544</v>
      </c>
      <c r="H27" s="37">
        <f t="shared" si="3"/>
        <v>-2.1762049999997544</v>
      </c>
      <c r="Q27" s="63">
        <f t="shared" si="4"/>
        <v>16150.96</v>
      </c>
      <c r="AA27" s="37" t="s">
        <v>30</v>
      </c>
      <c r="AF27" s="37" t="s">
        <v>35</v>
      </c>
    </row>
    <row r="28" spans="1:32" s="37" customFormat="1" ht="12.95" customHeight="1" x14ac:dyDescent="0.2">
      <c r="A28" s="58" t="s">
        <v>105</v>
      </c>
      <c r="B28" s="59" t="s">
        <v>51</v>
      </c>
      <c r="C28" s="60">
        <v>31176.45</v>
      </c>
      <c r="D28" s="61"/>
      <c r="E28" s="15">
        <f t="shared" si="0"/>
        <v>9.9247991917874803</v>
      </c>
      <c r="F28" s="62">
        <f t="shared" si="1"/>
        <v>11.5</v>
      </c>
      <c r="G28" s="37">
        <f t="shared" si="2"/>
        <v>-2.2140550000003714</v>
      </c>
      <c r="H28" s="37">
        <f t="shared" si="3"/>
        <v>-2.2140550000003714</v>
      </c>
      <c r="Q28" s="63">
        <f t="shared" si="4"/>
        <v>16157.95</v>
      </c>
    </row>
    <row r="29" spans="1:32" s="37" customFormat="1" ht="12.95" customHeight="1" x14ac:dyDescent="0.2">
      <c r="A29" s="58" t="s">
        <v>105</v>
      </c>
      <c r="B29" s="59" t="s">
        <v>51</v>
      </c>
      <c r="C29" s="60">
        <v>31179.29</v>
      </c>
      <c r="D29" s="61"/>
      <c r="E29" s="15">
        <f t="shared" si="0"/>
        <v>11.945331787104786</v>
      </c>
      <c r="F29" s="62">
        <f t="shared" si="1"/>
        <v>13.5</v>
      </c>
      <c r="G29" s="37">
        <f t="shared" si="2"/>
        <v>-2.1851949999982025</v>
      </c>
      <c r="H29" s="37">
        <f t="shared" si="3"/>
        <v>-2.1851949999982025</v>
      </c>
      <c r="Q29" s="63">
        <f t="shared" si="4"/>
        <v>16160.79</v>
      </c>
    </row>
    <row r="30" spans="1:32" s="37" customFormat="1" ht="12.95" customHeight="1" x14ac:dyDescent="0.2">
      <c r="A30" s="58" t="s">
        <v>119</v>
      </c>
      <c r="B30" s="59" t="s">
        <v>51</v>
      </c>
      <c r="C30" s="60">
        <v>36227.538</v>
      </c>
      <c r="D30" s="61"/>
      <c r="E30" s="15">
        <f t="shared" si="0"/>
        <v>3603.5473153240328</v>
      </c>
      <c r="F30" s="62">
        <f t="shared" si="1"/>
        <v>3605</v>
      </c>
      <c r="G30" s="37">
        <f t="shared" si="2"/>
        <v>-2.0418500000014319</v>
      </c>
      <c r="I30" s="37">
        <f t="shared" ref="I30:I61" si="5">G30</f>
        <v>-2.0418500000014319</v>
      </c>
      <c r="Q30" s="63">
        <f t="shared" si="4"/>
        <v>21209.038</v>
      </c>
    </row>
    <row r="31" spans="1:32" s="37" customFormat="1" ht="12.95" customHeight="1" x14ac:dyDescent="0.2">
      <c r="A31" s="58" t="s">
        <v>119</v>
      </c>
      <c r="B31" s="59" t="s">
        <v>51</v>
      </c>
      <c r="C31" s="60">
        <v>36285.398999999998</v>
      </c>
      <c r="D31" s="61"/>
      <c r="E31" s="15">
        <f t="shared" si="0"/>
        <v>3644.7128211330619</v>
      </c>
      <c r="F31" s="62">
        <f t="shared" si="1"/>
        <v>3646</v>
      </c>
      <c r="G31" s="37">
        <f t="shared" si="2"/>
        <v>-1.8092200000028242</v>
      </c>
      <c r="I31" s="37">
        <f t="shared" si="5"/>
        <v>-1.8092200000028242</v>
      </c>
      <c r="Q31" s="63">
        <f t="shared" si="4"/>
        <v>21266.898999999998</v>
      </c>
    </row>
    <row r="32" spans="1:32" s="37" customFormat="1" ht="12.95" customHeight="1" x14ac:dyDescent="0.2">
      <c r="A32" s="58" t="s">
        <v>119</v>
      </c>
      <c r="B32" s="59" t="s">
        <v>44</v>
      </c>
      <c r="C32" s="60">
        <v>37403.39</v>
      </c>
      <c r="D32" s="61"/>
      <c r="E32" s="15">
        <f t="shared" si="0"/>
        <v>4440.1132636581597</v>
      </c>
      <c r="F32" s="62">
        <f t="shared" si="1"/>
        <v>4441.5</v>
      </c>
      <c r="G32" s="37">
        <f t="shared" si="2"/>
        <v>-1.9491550000020652</v>
      </c>
      <c r="I32" s="37">
        <f t="shared" si="5"/>
        <v>-1.9491550000020652</v>
      </c>
      <c r="Q32" s="63">
        <f t="shared" si="4"/>
        <v>22384.89</v>
      </c>
    </row>
    <row r="33" spans="1:17" s="37" customFormat="1" ht="12.95" customHeight="1" x14ac:dyDescent="0.2">
      <c r="A33" s="58" t="s">
        <v>119</v>
      </c>
      <c r="B33" s="59" t="s">
        <v>44</v>
      </c>
      <c r="C33" s="60">
        <v>40318.385999999999</v>
      </c>
      <c r="D33" s="61"/>
      <c r="E33" s="15">
        <f t="shared" si="0"/>
        <v>6514.0021485945199</v>
      </c>
      <c r="F33" s="62">
        <f t="shared" si="1"/>
        <v>6515.5</v>
      </c>
      <c r="G33" s="37">
        <f t="shared" si="2"/>
        <v>-2.1053350000001956</v>
      </c>
      <c r="I33" s="37">
        <f t="shared" si="5"/>
        <v>-2.1053350000001956</v>
      </c>
      <c r="Q33" s="63">
        <f t="shared" si="4"/>
        <v>25299.885999999999</v>
      </c>
    </row>
    <row r="34" spans="1:17" s="37" customFormat="1" ht="12.95" customHeight="1" x14ac:dyDescent="0.2">
      <c r="A34" s="58" t="s">
        <v>119</v>
      </c>
      <c r="B34" s="59" t="s">
        <v>51</v>
      </c>
      <c r="C34" s="60">
        <v>41391.377</v>
      </c>
      <c r="D34" s="61"/>
      <c r="E34" s="15">
        <f t="shared" si="0"/>
        <v>7277.3871098557884</v>
      </c>
      <c r="F34" s="62">
        <f t="shared" si="1"/>
        <v>7279</v>
      </c>
      <c r="G34" s="37">
        <f t="shared" si="2"/>
        <v>-2.2670299999954295</v>
      </c>
      <c r="I34" s="37">
        <f t="shared" si="5"/>
        <v>-2.2670299999954295</v>
      </c>
      <c r="Q34" s="63">
        <f t="shared" si="4"/>
        <v>26372.877</v>
      </c>
    </row>
    <row r="35" spans="1:17" s="37" customFormat="1" ht="12.95" customHeight="1" x14ac:dyDescent="0.2">
      <c r="A35" s="58" t="s">
        <v>119</v>
      </c>
      <c r="B35" s="59" t="s">
        <v>51</v>
      </c>
      <c r="C35" s="60">
        <v>41595.603000000003</v>
      </c>
      <c r="D35" s="61"/>
      <c r="E35" s="15">
        <f t="shared" si="0"/>
        <v>7422.6847471132733</v>
      </c>
      <c r="F35" s="62">
        <f t="shared" si="1"/>
        <v>7424</v>
      </c>
      <c r="G35" s="37">
        <f t="shared" si="2"/>
        <v>-1.848679999995511</v>
      </c>
      <c r="I35" s="37">
        <f t="shared" si="5"/>
        <v>-1.848679999995511</v>
      </c>
      <c r="Q35" s="63">
        <f t="shared" si="4"/>
        <v>26577.103000000003</v>
      </c>
    </row>
    <row r="36" spans="1:17" s="37" customFormat="1" ht="12.95" customHeight="1" x14ac:dyDescent="0.2">
      <c r="A36" s="58" t="s">
        <v>119</v>
      </c>
      <c r="B36" s="59" t="s">
        <v>44</v>
      </c>
      <c r="C36" s="60">
        <v>41798.381999999998</v>
      </c>
      <c r="D36" s="61"/>
      <c r="E36" s="15">
        <f t="shared" si="0"/>
        <v>7566.9529087843348</v>
      </c>
      <c r="F36" s="62">
        <f t="shared" si="1"/>
        <v>7568.5</v>
      </c>
      <c r="G36" s="37">
        <f t="shared" si="2"/>
        <v>-2.1745450000016717</v>
      </c>
      <c r="I36" s="37">
        <f t="shared" si="5"/>
        <v>-2.1745450000016717</v>
      </c>
      <c r="Q36" s="63">
        <f t="shared" si="4"/>
        <v>26779.881999999998</v>
      </c>
    </row>
    <row r="37" spans="1:17" s="37" customFormat="1" ht="12.95" customHeight="1" x14ac:dyDescent="0.2">
      <c r="A37" s="58" t="s">
        <v>119</v>
      </c>
      <c r="B37" s="59" t="s">
        <v>51</v>
      </c>
      <c r="C37" s="60">
        <v>41990.582999999999</v>
      </c>
      <c r="D37" s="61"/>
      <c r="E37" s="15">
        <f t="shared" si="0"/>
        <v>7703.6952979929838</v>
      </c>
      <c r="F37" s="62">
        <f t="shared" si="1"/>
        <v>7705</v>
      </c>
      <c r="G37" s="37">
        <f t="shared" si="2"/>
        <v>-1.8338500000027125</v>
      </c>
      <c r="I37" s="37">
        <f t="shared" si="5"/>
        <v>-1.8338500000027125</v>
      </c>
      <c r="Q37" s="63">
        <f t="shared" si="4"/>
        <v>26972.082999999999</v>
      </c>
    </row>
    <row r="38" spans="1:17" s="37" customFormat="1" ht="12.95" customHeight="1" x14ac:dyDescent="0.2">
      <c r="A38" s="58" t="s">
        <v>146</v>
      </c>
      <c r="B38" s="59" t="s">
        <v>44</v>
      </c>
      <c r="C38" s="60">
        <v>43549.786999999997</v>
      </c>
      <c r="D38" s="61"/>
      <c r="E38" s="15">
        <f t="shared" si="0"/>
        <v>8812.9989968482514</v>
      </c>
      <c r="F38" s="62">
        <f t="shared" si="1"/>
        <v>8814.5</v>
      </c>
      <c r="G38" s="37">
        <f t="shared" si="2"/>
        <v>-2.1097650000010617</v>
      </c>
      <c r="I38" s="37">
        <f t="shared" si="5"/>
        <v>-2.1097650000010617</v>
      </c>
      <c r="Q38" s="63">
        <f t="shared" si="4"/>
        <v>28531.286999999997</v>
      </c>
    </row>
    <row r="39" spans="1:17" s="37" customFormat="1" ht="12.95" customHeight="1" x14ac:dyDescent="0.2">
      <c r="A39" s="58" t="s">
        <v>146</v>
      </c>
      <c r="B39" s="59" t="s">
        <v>44</v>
      </c>
      <c r="C39" s="60">
        <v>43982.71</v>
      </c>
      <c r="D39" s="61"/>
      <c r="E39" s="15">
        <f t="shared" si="0"/>
        <v>9121.0042900744884</v>
      </c>
      <c r="F39" s="62">
        <f t="shared" si="1"/>
        <v>9122.5</v>
      </c>
      <c r="G39" s="37">
        <f t="shared" si="2"/>
        <v>-2.102324999999837</v>
      </c>
      <c r="I39" s="37">
        <f t="shared" si="5"/>
        <v>-2.102324999999837</v>
      </c>
      <c r="Q39" s="63">
        <f t="shared" si="4"/>
        <v>28964.21</v>
      </c>
    </row>
    <row r="40" spans="1:17" s="37" customFormat="1" ht="12.95" customHeight="1" x14ac:dyDescent="0.2">
      <c r="A40" s="58" t="s">
        <v>119</v>
      </c>
      <c r="B40" s="59" t="s">
        <v>51</v>
      </c>
      <c r="C40" s="60">
        <v>44634.427000000003</v>
      </c>
      <c r="D40" s="61"/>
      <c r="E40" s="15">
        <f t="shared" si="0"/>
        <v>9584.6716990260211</v>
      </c>
      <c r="F40" s="62">
        <f t="shared" si="1"/>
        <v>9586</v>
      </c>
      <c r="G40" s="37">
        <f t="shared" si="2"/>
        <v>-1.8670199999978649</v>
      </c>
      <c r="I40" s="37">
        <f t="shared" si="5"/>
        <v>-1.8670199999978649</v>
      </c>
      <c r="Q40" s="63">
        <f t="shared" si="4"/>
        <v>29615.927000000003</v>
      </c>
    </row>
    <row r="41" spans="1:17" s="37" customFormat="1" ht="12.95" customHeight="1" x14ac:dyDescent="0.2">
      <c r="A41" s="58" t="s">
        <v>146</v>
      </c>
      <c r="B41" s="59" t="s">
        <v>44</v>
      </c>
      <c r="C41" s="60">
        <v>45753.758000000002</v>
      </c>
      <c r="D41" s="61"/>
      <c r="E41" s="15">
        <f t="shared" si="0"/>
        <v>10381.025491437638</v>
      </c>
      <c r="F41" s="62">
        <f t="shared" si="1"/>
        <v>10382.5</v>
      </c>
      <c r="G41" s="37">
        <f t="shared" si="2"/>
        <v>-2.0725249999959487</v>
      </c>
      <c r="I41" s="37">
        <f t="shared" si="5"/>
        <v>-2.0725249999959487</v>
      </c>
      <c r="Q41" s="63">
        <f t="shared" si="4"/>
        <v>30735.258000000002</v>
      </c>
    </row>
    <row r="42" spans="1:17" s="37" customFormat="1" ht="12.95" customHeight="1" x14ac:dyDescent="0.2">
      <c r="A42" s="58" t="s">
        <v>160</v>
      </c>
      <c r="B42" s="59" t="s">
        <v>51</v>
      </c>
      <c r="C42" s="60">
        <v>45810.300999999999</v>
      </c>
      <c r="D42" s="61"/>
      <c r="E42" s="15">
        <f t="shared" si="0"/>
        <v>10421.253299373207</v>
      </c>
      <c r="F42" s="62">
        <f t="shared" si="1"/>
        <v>10423</v>
      </c>
      <c r="G42" s="37">
        <f t="shared" si="2"/>
        <v>-2.4551100000026054</v>
      </c>
      <c r="I42" s="37">
        <f t="shared" si="5"/>
        <v>-2.4551100000026054</v>
      </c>
      <c r="Q42" s="63">
        <f t="shared" si="4"/>
        <v>30791.800999999999</v>
      </c>
    </row>
    <row r="43" spans="1:17" s="37" customFormat="1" ht="12.95" customHeight="1" x14ac:dyDescent="0.2">
      <c r="A43" s="58" t="s">
        <v>119</v>
      </c>
      <c r="B43" s="59" t="s">
        <v>44</v>
      </c>
      <c r="C43" s="60">
        <v>45912.35</v>
      </c>
      <c r="D43" s="61"/>
      <c r="E43" s="15">
        <f t="shared" si="0"/>
        <v>10493.85658487304</v>
      </c>
      <c r="F43" s="62">
        <f t="shared" si="1"/>
        <v>10495.5</v>
      </c>
      <c r="G43" s="37">
        <f t="shared" si="2"/>
        <v>-2.3099350000047707</v>
      </c>
      <c r="I43" s="37">
        <f t="shared" si="5"/>
        <v>-2.3099350000047707</v>
      </c>
      <c r="Q43" s="63">
        <f t="shared" si="4"/>
        <v>30893.85</v>
      </c>
    </row>
    <row r="44" spans="1:17" s="37" customFormat="1" ht="12.95" customHeight="1" x14ac:dyDescent="0.2">
      <c r="A44" s="58" t="s">
        <v>160</v>
      </c>
      <c r="B44" s="59" t="s">
        <v>51</v>
      </c>
      <c r="C44" s="60">
        <v>45917.338000000003</v>
      </c>
      <c r="D44" s="61"/>
      <c r="E44" s="15">
        <f t="shared" si="0"/>
        <v>10497.405323107354</v>
      </c>
      <c r="F44" s="62">
        <f t="shared" si="1"/>
        <v>10499</v>
      </c>
      <c r="G44" s="37">
        <f t="shared" si="2"/>
        <v>-2.2414299999945797</v>
      </c>
      <c r="I44" s="37">
        <f t="shared" si="5"/>
        <v>-2.2414299999945797</v>
      </c>
      <c r="Q44" s="63">
        <f t="shared" si="4"/>
        <v>30898.838000000003</v>
      </c>
    </row>
    <row r="45" spans="1:17" s="37" customFormat="1" ht="12.95" customHeight="1" x14ac:dyDescent="0.2">
      <c r="A45" s="58" t="s">
        <v>119</v>
      </c>
      <c r="B45" s="59" t="s">
        <v>51</v>
      </c>
      <c r="C45" s="60">
        <v>46004.593999999997</v>
      </c>
      <c r="D45" s="61"/>
      <c r="E45" s="15">
        <f t="shared" si="0"/>
        <v>10559.484052733053</v>
      </c>
      <c r="F45" s="62">
        <f t="shared" si="1"/>
        <v>10561</v>
      </c>
      <c r="G45" s="37">
        <f t="shared" si="2"/>
        <v>-2.1307700000033947</v>
      </c>
      <c r="I45" s="37">
        <f t="shared" si="5"/>
        <v>-2.1307700000033947</v>
      </c>
      <c r="Q45" s="63">
        <f t="shared" si="4"/>
        <v>30986.093999999997</v>
      </c>
    </row>
    <row r="46" spans="1:17" s="37" customFormat="1" ht="12.95" customHeight="1" x14ac:dyDescent="0.2">
      <c r="A46" s="58" t="s">
        <v>119</v>
      </c>
      <c r="B46" s="59" t="s">
        <v>51</v>
      </c>
      <c r="C46" s="60">
        <v>46059.49</v>
      </c>
      <c r="D46" s="61"/>
      <c r="E46" s="15">
        <f t="shared" si="0"/>
        <v>10598.540094054368</v>
      </c>
      <c r="F46" s="62">
        <f t="shared" si="1"/>
        <v>10600</v>
      </c>
      <c r="G46" s="37">
        <f t="shared" si="2"/>
        <v>-2.0520000000033178</v>
      </c>
      <c r="I46" s="37">
        <f t="shared" si="5"/>
        <v>-2.0520000000033178</v>
      </c>
      <c r="Q46" s="63">
        <f t="shared" si="4"/>
        <v>31040.989999999998</v>
      </c>
    </row>
    <row r="47" spans="1:17" s="37" customFormat="1" ht="12.95" customHeight="1" x14ac:dyDescent="0.2">
      <c r="A47" s="58" t="s">
        <v>119</v>
      </c>
      <c r="B47" s="59" t="s">
        <v>51</v>
      </c>
      <c r="C47" s="60">
        <v>46121.466</v>
      </c>
      <c r="D47" s="61"/>
      <c r="E47" s="15">
        <f t="shared" si="0"/>
        <v>10642.633237761193</v>
      </c>
      <c r="F47" s="62">
        <f t="shared" si="1"/>
        <v>10644</v>
      </c>
      <c r="G47" s="37">
        <f t="shared" si="2"/>
        <v>-1.9210800000000745</v>
      </c>
      <c r="I47" s="37">
        <f t="shared" si="5"/>
        <v>-1.9210800000000745</v>
      </c>
      <c r="Q47" s="63">
        <f t="shared" si="4"/>
        <v>31102.966</v>
      </c>
    </row>
    <row r="48" spans="1:17" s="37" customFormat="1" ht="12.95" customHeight="1" x14ac:dyDescent="0.2">
      <c r="A48" s="58" t="s">
        <v>119</v>
      </c>
      <c r="B48" s="59" t="s">
        <v>51</v>
      </c>
      <c r="C48" s="60">
        <v>46200.374000000003</v>
      </c>
      <c r="D48" s="61"/>
      <c r="E48" s="15">
        <f t="shared" si="0"/>
        <v>10698.772739884889</v>
      </c>
      <c r="F48" s="62">
        <f t="shared" si="1"/>
        <v>10700.5</v>
      </c>
      <c r="G48" s="37">
        <f t="shared" si="2"/>
        <v>-2.427784999999858</v>
      </c>
      <c r="I48" s="37">
        <f t="shared" si="5"/>
        <v>-2.427784999999858</v>
      </c>
      <c r="Q48" s="63">
        <f t="shared" si="4"/>
        <v>31181.874000000003</v>
      </c>
    </row>
    <row r="49" spans="1:32" s="37" customFormat="1" ht="12.95" customHeight="1" x14ac:dyDescent="0.2">
      <c r="A49" s="58" t="s">
        <v>183</v>
      </c>
      <c r="B49" s="59" t="s">
        <v>51</v>
      </c>
      <c r="C49" s="60">
        <v>46200.379000000001</v>
      </c>
      <c r="D49" s="61"/>
      <c r="E49" s="15">
        <f t="shared" si="0"/>
        <v>10698.776297160583</v>
      </c>
      <c r="F49" s="62">
        <f t="shared" si="1"/>
        <v>10700.5</v>
      </c>
      <c r="G49" s="37">
        <f t="shared" si="2"/>
        <v>-2.4227850000024773</v>
      </c>
      <c r="I49" s="37">
        <f t="shared" si="5"/>
        <v>-2.4227850000024773</v>
      </c>
      <c r="Q49" s="63">
        <f t="shared" si="4"/>
        <v>31181.879000000001</v>
      </c>
      <c r="AA49" s="37" t="s">
        <v>30</v>
      </c>
      <c r="AF49" s="37" t="s">
        <v>35</v>
      </c>
    </row>
    <row r="50" spans="1:32" s="37" customFormat="1" ht="12.95" customHeight="1" x14ac:dyDescent="0.2">
      <c r="A50" s="58" t="s">
        <v>160</v>
      </c>
      <c r="B50" s="59" t="s">
        <v>44</v>
      </c>
      <c r="C50" s="60">
        <v>46552.394999999997</v>
      </c>
      <c r="D50" s="61"/>
      <c r="E50" s="15">
        <f t="shared" si="0"/>
        <v>10949.21988943987</v>
      </c>
      <c r="F50" s="62">
        <f t="shared" si="1"/>
        <v>10950.5</v>
      </c>
      <c r="G50" s="37">
        <f t="shared" si="2"/>
        <v>-1.7992850000009639</v>
      </c>
      <c r="I50" s="37">
        <f t="shared" si="5"/>
        <v>-1.7992850000009639</v>
      </c>
      <c r="Q50" s="63">
        <f t="shared" si="4"/>
        <v>31533.894999999997</v>
      </c>
    </row>
    <row r="51" spans="1:32" s="37" customFormat="1" ht="12.95" customHeight="1" x14ac:dyDescent="0.2">
      <c r="A51" s="58" t="s">
        <v>119</v>
      </c>
      <c r="B51" s="59" t="s">
        <v>51</v>
      </c>
      <c r="C51" s="60">
        <v>46828.341999999997</v>
      </c>
      <c r="D51" s="61"/>
      <c r="E51" s="15">
        <f t="shared" si="0"/>
        <v>11145.543800735642</v>
      </c>
      <c r="F51" s="62">
        <f t="shared" si="1"/>
        <v>11147</v>
      </c>
      <c r="G51" s="37">
        <f t="shared" si="2"/>
        <v>-2.0467900000003283</v>
      </c>
      <c r="I51" s="37">
        <f t="shared" si="5"/>
        <v>-2.0467900000003283</v>
      </c>
      <c r="Q51" s="63">
        <f t="shared" si="4"/>
        <v>31809.841999999997</v>
      </c>
    </row>
    <row r="52" spans="1:32" s="37" customFormat="1" ht="12.95" customHeight="1" x14ac:dyDescent="0.2">
      <c r="A52" s="58" t="s">
        <v>160</v>
      </c>
      <c r="B52" s="59" t="s">
        <v>44</v>
      </c>
      <c r="C52" s="60">
        <v>47266.34</v>
      </c>
      <c r="D52" s="61"/>
      <c r="E52" s="15">
        <f t="shared" si="0"/>
        <v>11457.159728793298</v>
      </c>
      <c r="F52" s="62">
        <f t="shared" si="1"/>
        <v>11458.5</v>
      </c>
      <c r="G52" s="37">
        <f t="shared" si="2"/>
        <v>-1.8838450000039302</v>
      </c>
      <c r="I52" s="37">
        <f t="shared" si="5"/>
        <v>-1.8838450000039302</v>
      </c>
      <c r="Q52" s="63">
        <f t="shared" si="4"/>
        <v>32247.839999999997</v>
      </c>
    </row>
    <row r="53" spans="1:32" s="37" customFormat="1" ht="12.95" customHeight="1" x14ac:dyDescent="0.2">
      <c r="A53" s="37" t="s">
        <v>32</v>
      </c>
      <c r="B53" s="40"/>
      <c r="C53" s="61">
        <v>47649.375</v>
      </c>
      <c r="D53" s="61"/>
      <c r="E53" s="37">
        <f t="shared" ref="E53:E84" si="6">+(C53-C$7)/C$8</f>
        <v>11729.671948035317</v>
      </c>
      <c r="F53" s="62">
        <f t="shared" ref="F53:F73" si="7">ROUND(2*E53,0)/2+1.5</f>
        <v>11731</v>
      </c>
      <c r="G53" s="37">
        <f t="shared" ref="G53:G84" si="8">+C53-(C$7+F53*C$8)</f>
        <v>-1.8666700000030687</v>
      </c>
      <c r="I53" s="37">
        <f t="shared" si="5"/>
        <v>-1.8666700000030687</v>
      </c>
      <c r="Q53" s="63">
        <f t="shared" ref="Q53:Q84" si="9">+C53-15018.5</f>
        <v>32630.875</v>
      </c>
    </row>
    <row r="54" spans="1:32" s="37" customFormat="1" ht="12.95" customHeight="1" x14ac:dyDescent="0.2">
      <c r="A54" s="37" t="s">
        <v>34</v>
      </c>
      <c r="B54" s="40"/>
      <c r="C54" s="61">
        <v>47946.500999999997</v>
      </c>
      <c r="D54" s="61"/>
      <c r="E54" s="37">
        <f t="shared" si="6"/>
        <v>11941.063767724123</v>
      </c>
      <c r="F54" s="62">
        <f t="shared" si="7"/>
        <v>11942.5</v>
      </c>
      <c r="G54" s="37">
        <f t="shared" si="8"/>
        <v>-2.0187250000017229</v>
      </c>
      <c r="I54" s="37">
        <f t="shared" si="5"/>
        <v>-2.0187250000017229</v>
      </c>
      <c r="Q54" s="63">
        <f t="shared" si="9"/>
        <v>32928.000999999997</v>
      </c>
    </row>
    <row r="55" spans="1:32" s="37" customFormat="1" ht="12.95" customHeight="1" x14ac:dyDescent="0.2">
      <c r="A55" s="58" t="s">
        <v>201</v>
      </c>
      <c r="B55" s="59" t="s">
        <v>44</v>
      </c>
      <c r="C55" s="60">
        <v>47970.438999999998</v>
      </c>
      <c r="D55" s="61"/>
      <c r="E55" s="15">
        <f t="shared" si="6"/>
        <v>11958.094580846204</v>
      </c>
      <c r="F55" s="62">
        <f t="shared" si="7"/>
        <v>11959.5</v>
      </c>
      <c r="G55" s="37">
        <f t="shared" si="8"/>
        <v>-1.975415000000794</v>
      </c>
      <c r="I55" s="37">
        <f t="shared" si="5"/>
        <v>-1.975415000000794</v>
      </c>
      <c r="Q55" s="63">
        <f t="shared" si="9"/>
        <v>32951.938999999998</v>
      </c>
    </row>
    <row r="56" spans="1:32" s="37" customFormat="1" ht="12.95" customHeight="1" x14ac:dyDescent="0.2">
      <c r="A56" s="58" t="s">
        <v>201</v>
      </c>
      <c r="B56" s="59" t="s">
        <v>44</v>
      </c>
      <c r="C56" s="60">
        <v>47970.440999999999</v>
      </c>
      <c r="D56" s="61"/>
      <c r="E56" s="15">
        <f t="shared" si="6"/>
        <v>11958.096003756482</v>
      </c>
      <c r="F56" s="62">
        <f t="shared" si="7"/>
        <v>11959.5</v>
      </c>
      <c r="G56" s="37">
        <f t="shared" si="8"/>
        <v>-1.9734150000003865</v>
      </c>
      <c r="I56" s="37">
        <f t="shared" si="5"/>
        <v>-1.9734150000003865</v>
      </c>
      <c r="Q56" s="63">
        <f t="shared" si="9"/>
        <v>32951.940999999999</v>
      </c>
    </row>
    <row r="57" spans="1:32" s="37" customFormat="1" ht="12.95" customHeight="1" x14ac:dyDescent="0.2">
      <c r="A57" s="37" t="s">
        <v>34</v>
      </c>
      <c r="B57" s="40"/>
      <c r="C57" s="61">
        <v>47970.442000000003</v>
      </c>
      <c r="D57" s="61"/>
      <c r="E57" s="37">
        <f t="shared" si="6"/>
        <v>11958.096715211625</v>
      </c>
      <c r="F57" s="62">
        <f t="shared" si="7"/>
        <v>11959.5</v>
      </c>
      <c r="G57" s="37">
        <f t="shared" si="8"/>
        <v>-1.9724149999965448</v>
      </c>
      <c r="I57" s="37">
        <f t="shared" si="5"/>
        <v>-1.9724149999965448</v>
      </c>
      <c r="Q57" s="63">
        <f t="shared" si="9"/>
        <v>32951.942000000003</v>
      </c>
      <c r="AA57" s="37" t="s">
        <v>38</v>
      </c>
      <c r="AB57" s="37">
        <v>27</v>
      </c>
      <c r="AD57" s="37" t="s">
        <v>31</v>
      </c>
      <c r="AF57" s="37" t="s">
        <v>33</v>
      </c>
    </row>
    <row r="58" spans="1:32" s="37" customFormat="1" ht="12.95" customHeight="1" x14ac:dyDescent="0.2">
      <c r="A58" s="37" t="s">
        <v>34</v>
      </c>
      <c r="B58" s="40"/>
      <c r="C58" s="61">
        <v>48274.599000000002</v>
      </c>
      <c r="D58" s="61"/>
      <c r="E58" s="37">
        <f t="shared" si="6"/>
        <v>12174.490775984123</v>
      </c>
      <c r="F58" s="62">
        <f t="shared" si="7"/>
        <v>12176</v>
      </c>
      <c r="G58" s="37">
        <f t="shared" si="8"/>
        <v>-2.1213199999983772</v>
      </c>
      <c r="I58" s="37">
        <f t="shared" si="5"/>
        <v>-2.1213199999983772</v>
      </c>
      <c r="Q58" s="63">
        <f t="shared" si="9"/>
        <v>33256.099000000002</v>
      </c>
    </row>
    <row r="59" spans="1:32" s="37" customFormat="1" ht="12.95" customHeight="1" x14ac:dyDescent="0.2">
      <c r="A59" s="15" t="s">
        <v>37</v>
      </c>
      <c r="B59" s="17"/>
      <c r="C59" s="16">
        <v>48362.411</v>
      </c>
      <c r="D59" s="16"/>
      <c r="E59" s="15">
        <f t="shared" si="6"/>
        <v>12236.965074667218</v>
      </c>
      <c r="F59" s="62">
        <f t="shared" si="7"/>
        <v>12238.5</v>
      </c>
      <c r="G59" s="37">
        <f t="shared" si="8"/>
        <v>-2.1574449999970966</v>
      </c>
      <c r="I59" s="37">
        <f t="shared" si="5"/>
        <v>-2.1574449999970966</v>
      </c>
      <c r="Q59" s="63">
        <f t="shared" si="9"/>
        <v>33343.911</v>
      </c>
    </row>
    <row r="60" spans="1:32" s="37" customFormat="1" ht="12.95" customHeight="1" x14ac:dyDescent="0.2">
      <c r="A60" s="15" t="s">
        <v>34</v>
      </c>
      <c r="B60" s="17"/>
      <c r="C60" s="16">
        <v>48677.347000000002</v>
      </c>
      <c r="D60" s="16"/>
      <c r="E60" s="15">
        <f t="shared" si="6"/>
        <v>12461.027910385112</v>
      </c>
      <c r="F60" s="62">
        <f t="shared" si="7"/>
        <v>12462.5</v>
      </c>
      <c r="G60" s="37">
        <f t="shared" si="8"/>
        <v>-2.0691250000018044</v>
      </c>
      <c r="I60" s="37">
        <f t="shared" si="5"/>
        <v>-2.0691250000018044</v>
      </c>
      <c r="Q60" s="63">
        <f t="shared" si="9"/>
        <v>33658.847000000002</v>
      </c>
    </row>
    <row r="61" spans="1:32" s="37" customFormat="1" ht="12.95" customHeight="1" x14ac:dyDescent="0.2">
      <c r="A61" s="15" t="s">
        <v>34</v>
      </c>
      <c r="B61" s="17"/>
      <c r="C61" s="16">
        <v>49002.633000000002</v>
      </c>
      <c r="D61" s="16"/>
      <c r="E61" s="15">
        <f t="shared" si="6"/>
        <v>12692.454306793687</v>
      </c>
      <c r="F61" s="62">
        <f t="shared" si="7"/>
        <v>12694</v>
      </c>
      <c r="G61" s="37">
        <f t="shared" si="8"/>
        <v>-2.1725799999985611</v>
      </c>
      <c r="I61" s="37">
        <f t="shared" si="5"/>
        <v>-2.1725799999985611</v>
      </c>
      <c r="Q61" s="63">
        <f t="shared" si="9"/>
        <v>33984.133000000002</v>
      </c>
    </row>
    <row r="62" spans="1:32" s="37" customFormat="1" ht="12.95" customHeight="1" x14ac:dyDescent="0.2">
      <c r="A62" s="58" t="s">
        <v>228</v>
      </c>
      <c r="B62" s="59" t="s">
        <v>51</v>
      </c>
      <c r="C62" s="60">
        <v>50509.390800000001</v>
      </c>
      <c r="D62" s="61"/>
      <c r="E62" s="15">
        <f t="shared" si="6"/>
        <v>13764.444887127644</v>
      </c>
      <c r="F62" s="62">
        <f t="shared" si="7"/>
        <v>13766</v>
      </c>
      <c r="G62" s="37">
        <f t="shared" si="8"/>
        <v>-2.1858199999987846</v>
      </c>
      <c r="J62" s="37">
        <f>G62</f>
        <v>-2.1858199999987846</v>
      </c>
      <c r="Q62" s="63">
        <f t="shared" si="9"/>
        <v>35490.890800000001</v>
      </c>
    </row>
    <row r="63" spans="1:32" s="37" customFormat="1" ht="12.95" customHeight="1" x14ac:dyDescent="0.2">
      <c r="A63" s="58" t="s">
        <v>228</v>
      </c>
      <c r="B63" s="59" t="s">
        <v>51</v>
      </c>
      <c r="C63" s="60">
        <v>50509.392200000002</v>
      </c>
      <c r="D63" s="61"/>
      <c r="E63" s="15">
        <f t="shared" si="6"/>
        <v>13764.445883164839</v>
      </c>
      <c r="F63" s="62">
        <f t="shared" si="7"/>
        <v>13766</v>
      </c>
      <c r="G63" s="37">
        <f t="shared" si="8"/>
        <v>-2.1844199999977718</v>
      </c>
      <c r="J63" s="37">
        <f>G63</f>
        <v>-2.1844199999977718</v>
      </c>
      <c r="Q63" s="63">
        <f t="shared" si="9"/>
        <v>35490.892200000002</v>
      </c>
    </row>
    <row r="64" spans="1:32" s="37" customFormat="1" ht="12.95" customHeight="1" x14ac:dyDescent="0.2">
      <c r="A64" s="58" t="s">
        <v>228</v>
      </c>
      <c r="B64" s="59" t="s">
        <v>51</v>
      </c>
      <c r="C64" s="60">
        <v>50509.402600000001</v>
      </c>
      <c r="D64" s="61"/>
      <c r="E64" s="15">
        <f t="shared" si="6"/>
        <v>13764.453282298286</v>
      </c>
      <c r="F64" s="62">
        <f t="shared" si="7"/>
        <v>13766</v>
      </c>
      <c r="G64" s="37">
        <f t="shared" si="8"/>
        <v>-2.1740199999985634</v>
      </c>
      <c r="J64" s="37">
        <f>G64</f>
        <v>-2.1740199999985634</v>
      </c>
      <c r="Q64" s="63">
        <f t="shared" si="9"/>
        <v>35490.902600000001</v>
      </c>
    </row>
    <row r="65" spans="1:32" s="37" customFormat="1" ht="12.95" customHeight="1" x14ac:dyDescent="0.2">
      <c r="A65" s="15" t="s">
        <v>39</v>
      </c>
      <c r="B65" s="17"/>
      <c r="C65" s="16">
        <v>50516.436999999998</v>
      </c>
      <c r="D65" s="16">
        <v>7.0000000000000001E-3</v>
      </c>
      <c r="E65" s="15">
        <f t="shared" si="6"/>
        <v>13769.457942329445</v>
      </c>
      <c r="F65" s="62">
        <f t="shared" si="7"/>
        <v>13771</v>
      </c>
      <c r="G65" s="37">
        <f t="shared" si="8"/>
        <v>-2.1674700000003213</v>
      </c>
      <c r="I65" s="37">
        <f>G65</f>
        <v>-2.1674700000003213</v>
      </c>
      <c r="Q65" s="63">
        <f t="shared" si="9"/>
        <v>35497.936999999998</v>
      </c>
      <c r="AA65" s="37" t="s">
        <v>30</v>
      </c>
      <c r="AF65" s="37" t="s">
        <v>35</v>
      </c>
    </row>
    <row r="66" spans="1:32" s="37" customFormat="1" ht="12.95" customHeight="1" x14ac:dyDescent="0.2">
      <c r="A66" s="16" t="s">
        <v>62</v>
      </c>
      <c r="B66" s="17" t="s">
        <v>51</v>
      </c>
      <c r="C66" s="16">
        <v>51658.469700000001</v>
      </c>
      <c r="D66" s="16" t="s">
        <v>63</v>
      </c>
      <c r="E66" s="15">
        <f t="shared" si="6"/>
        <v>14581.962975874558</v>
      </c>
      <c r="F66" s="62">
        <f t="shared" si="7"/>
        <v>14583.5</v>
      </c>
      <c r="G66" s="37">
        <f t="shared" si="8"/>
        <v>-2.1603949999989709</v>
      </c>
      <c r="K66" s="37">
        <f>G66</f>
        <v>-2.1603949999989709</v>
      </c>
      <c r="Q66" s="63">
        <f t="shared" si="9"/>
        <v>36639.969700000001</v>
      </c>
    </row>
    <row r="67" spans="1:32" s="37" customFormat="1" ht="12.95" customHeight="1" x14ac:dyDescent="0.2">
      <c r="A67" s="15" t="s">
        <v>42</v>
      </c>
      <c r="B67" s="17" t="s">
        <v>44</v>
      </c>
      <c r="C67" s="16">
        <v>52703.332900000001</v>
      </c>
      <c r="D67" s="16">
        <v>2.9999999999999997E-4</v>
      </c>
      <c r="E67" s="15">
        <f t="shared" si="6"/>
        <v>15325.336269271542</v>
      </c>
      <c r="F67" s="62">
        <f t="shared" si="7"/>
        <v>15327</v>
      </c>
      <c r="G67" s="37">
        <f t="shared" si="8"/>
        <v>-2.3384900000019115</v>
      </c>
      <c r="J67" s="37">
        <f>G67</f>
        <v>-2.3384900000019115</v>
      </c>
      <c r="Q67" s="63">
        <f t="shared" si="9"/>
        <v>37684.832900000001</v>
      </c>
    </row>
    <row r="68" spans="1:32" s="37" customFormat="1" ht="12.95" customHeight="1" x14ac:dyDescent="0.2">
      <c r="A68" s="15" t="s">
        <v>50</v>
      </c>
      <c r="B68" s="64" t="s">
        <v>51</v>
      </c>
      <c r="C68" s="65">
        <v>52772.3338</v>
      </c>
      <c r="D68" s="65">
        <v>2.0000000000000001E-4</v>
      </c>
      <c r="E68" s="15">
        <f t="shared" si="6"/>
        <v>15374.427314185705</v>
      </c>
      <c r="F68" s="62">
        <f t="shared" si="7"/>
        <v>15376</v>
      </c>
      <c r="G68" s="37">
        <f t="shared" si="8"/>
        <v>-2.2105200000005425</v>
      </c>
      <c r="K68" s="37">
        <f>G68</f>
        <v>-2.2105200000005425</v>
      </c>
      <c r="Q68" s="63">
        <f t="shared" si="9"/>
        <v>37753.8338</v>
      </c>
    </row>
    <row r="69" spans="1:32" s="37" customFormat="1" ht="12.95" customHeight="1" x14ac:dyDescent="0.2">
      <c r="A69" s="15" t="s">
        <v>46</v>
      </c>
      <c r="B69" s="66"/>
      <c r="C69" s="16">
        <v>53093.3989</v>
      </c>
      <c r="D69" s="16">
        <v>1E-4</v>
      </c>
      <c r="E69" s="15">
        <f t="shared" si="6"/>
        <v>15602.850729597245</v>
      </c>
      <c r="F69" s="62">
        <f t="shared" si="7"/>
        <v>15604.5</v>
      </c>
      <c r="G69" s="37">
        <f t="shared" si="8"/>
        <v>-2.3181650000042282</v>
      </c>
      <c r="J69" s="37">
        <f>G69</f>
        <v>-2.3181650000042282</v>
      </c>
      <c r="O69" s="37">
        <f t="shared" ref="O69:O111" ca="1" si="10">+C$11+C$12*F69</f>
        <v>-2.3868260213286243</v>
      </c>
      <c r="Q69" s="63">
        <f t="shared" si="9"/>
        <v>38074.8989</v>
      </c>
    </row>
    <row r="70" spans="1:32" s="37" customFormat="1" ht="12.95" customHeight="1" x14ac:dyDescent="0.2">
      <c r="A70" s="16" t="s">
        <v>69</v>
      </c>
      <c r="B70" s="17" t="s">
        <v>51</v>
      </c>
      <c r="C70" s="16">
        <v>53400.375</v>
      </c>
      <c r="D70" s="16">
        <v>8.0000000000000002E-3</v>
      </c>
      <c r="E70" s="15">
        <f t="shared" si="6"/>
        <v>15821.250453552651</v>
      </c>
      <c r="F70" s="62">
        <f t="shared" si="7"/>
        <v>15823</v>
      </c>
      <c r="G70" s="37">
        <f t="shared" si="8"/>
        <v>-2.4591099999961443</v>
      </c>
      <c r="I70" s="37">
        <f>G70</f>
        <v>-2.4591099999961443</v>
      </c>
      <c r="O70" s="37">
        <f t="shared" ca="1" si="10"/>
        <v>-2.4065964478928219</v>
      </c>
      <c r="Q70" s="63">
        <f t="shared" si="9"/>
        <v>38381.875</v>
      </c>
    </row>
    <row r="71" spans="1:32" s="37" customFormat="1" ht="12.95" customHeight="1" x14ac:dyDescent="0.2">
      <c r="A71" s="15" t="s">
        <v>49</v>
      </c>
      <c r="B71" s="64"/>
      <c r="C71" s="16">
        <v>53443.336000000003</v>
      </c>
      <c r="D71" s="16">
        <v>5.9999999999999995E-4</v>
      </c>
      <c r="E71" s="15">
        <f t="shared" si="6"/>
        <v>15851.815277787662</v>
      </c>
      <c r="F71" s="62">
        <f t="shared" si="7"/>
        <v>15853.5</v>
      </c>
      <c r="G71" s="37">
        <f t="shared" si="8"/>
        <v>-2.3679950000005192</v>
      </c>
      <c r="J71" s="37">
        <f>G71</f>
        <v>-2.3679950000005192</v>
      </c>
      <c r="O71" s="37">
        <f t="shared" ca="1" si="10"/>
        <v>-2.4093561641866801</v>
      </c>
      <c r="Q71" s="63">
        <f t="shared" si="9"/>
        <v>38424.836000000003</v>
      </c>
    </row>
    <row r="72" spans="1:32" s="37" customFormat="1" ht="12.95" customHeight="1" x14ac:dyDescent="0.2">
      <c r="A72" s="15" t="s">
        <v>49</v>
      </c>
      <c r="B72" s="17" t="s">
        <v>44</v>
      </c>
      <c r="C72" s="16">
        <v>53445.444000000003</v>
      </c>
      <c r="D72" s="16">
        <v>4.0000000000000002E-4</v>
      </c>
      <c r="E72" s="15">
        <f t="shared" si="6"/>
        <v>15853.315025221087</v>
      </c>
      <c r="F72" s="62">
        <f t="shared" si="7"/>
        <v>15855</v>
      </c>
      <c r="G72" s="37">
        <f t="shared" si="8"/>
        <v>-2.3683499999970081</v>
      </c>
      <c r="J72" s="37">
        <f>G72</f>
        <v>-2.3683499999970081</v>
      </c>
      <c r="O72" s="37">
        <f t="shared" ca="1" si="10"/>
        <v>-2.4094918879388372</v>
      </c>
      <c r="Q72" s="63">
        <f t="shared" si="9"/>
        <v>38426.944000000003</v>
      </c>
    </row>
    <row r="73" spans="1:32" s="37" customFormat="1" ht="12.95" customHeight="1" x14ac:dyDescent="0.2">
      <c r="A73" s="15" t="s">
        <v>59</v>
      </c>
      <c r="B73" s="64" t="s">
        <v>51</v>
      </c>
      <c r="C73" s="65">
        <v>53445.445800000001</v>
      </c>
      <c r="D73" s="65">
        <v>4.0000000000000002E-4</v>
      </c>
      <c r="E73" s="15">
        <f t="shared" si="6"/>
        <v>15853.316305840337</v>
      </c>
      <c r="F73" s="62">
        <f t="shared" si="7"/>
        <v>15855</v>
      </c>
      <c r="G73" s="37">
        <f t="shared" si="8"/>
        <v>-2.3665499999988242</v>
      </c>
      <c r="K73" s="37">
        <f>G73</f>
        <v>-2.3665499999988242</v>
      </c>
      <c r="O73" s="37">
        <f t="shared" ca="1" si="10"/>
        <v>-2.4094918879388372</v>
      </c>
      <c r="Q73" s="63">
        <f t="shared" si="9"/>
        <v>38426.945800000001</v>
      </c>
    </row>
    <row r="74" spans="1:32" s="37" customFormat="1" ht="12.95" customHeight="1" x14ac:dyDescent="0.2">
      <c r="A74" s="15" t="s">
        <v>53</v>
      </c>
      <c r="B74" s="17" t="s">
        <v>44</v>
      </c>
      <c r="C74" s="16">
        <v>53706.660300000003</v>
      </c>
      <c r="D74" s="16">
        <v>1E-3</v>
      </c>
      <c r="E74" s="15">
        <f t="shared" si="6"/>
        <v>16039.158704297903</v>
      </c>
      <c r="F74" s="67">
        <f>ROUND(2*E74,0)/2+2</f>
        <v>16041</v>
      </c>
      <c r="G74" s="37">
        <f t="shared" si="8"/>
        <v>-2.5880699999979697</v>
      </c>
      <c r="J74" s="37">
        <f>G74</f>
        <v>-2.5880699999979697</v>
      </c>
      <c r="O74" s="37">
        <f t="shared" ca="1" si="10"/>
        <v>-2.4263216332063005</v>
      </c>
      <c r="Q74" s="63">
        <f t="shared" si="9"/>
        <v>38688.160300000003</v>
      </c>
    </row>
    <row r="75" spans="1:32" s="37" customFormat="1" ht="12.95" customHeight="1" x14ac:dyDescent="0.2">
      <c r="A75" s="15" t="s">
        <v>53</v>
      </c>
      <c r="B75" s="66"/>
      <c r="C75" s="16">
        <v>53814.387600000002</v>
      </c>
      <c r="D75" s="16">
        <v>4.0000000000000002E-4</v>
      </c>
      <c r="E75" s="15">
        <f t="shared" si="6"/>
        <v>16115.801845514632</v>
      </c>
      <c r="F75" s="62">
        <f>ROUND(2*E75,0)/2+1.5</f>
        <v>16117.5</v>
      </c>
      <c r="G75" s="37">
        <f t="shared" si="8"/>
        <v>-2.3868749999965075</v>
      </c>
      <c r="J75" s="37">
        <f>G75</f>
        <v>-2.3868749999965075</v>
      </c>
      <c r="O75" s="37">
        <f t="shared" ca="1" si="10"/>
        <v>-2.4332435445663054</v>
      </c>
      <c r="Q75" s="63">
        <f t="shared" si="9"/>
        <v>38795.887600000002</v>
      </c>
    </row>
    <row r="76" spans="1:32" s="37" customFormat="1" ht="12.95" customHeight="1" x14ac:dyDescent="0.2">
      <c r="A76" s="16" t="s">
        <v>62</v>
      </c>
      <c r="B76" s="17" t="s">
        <v>51</v>
      </c>
      <c r="C76" s="16">
        <v>53814.387609999998</v>
      </c>
      <c r="D76" s="16">
        <v>4.0000000000000002E-4</v>
      </c>
      <c r="E76" s="15">
        <f t="shared" si="6"/>
        <v>16115.801852629182</v>
      </c>
      <c r="F76" s="62">
        <f>ROUND(2*E76,0)/2+1.5</f>
        <v>16117.5</v>
      </c>
      <c r="G76" s="37">
        <f t="shared" si="8"/>
        <v>-2.3868650000003981</v>
      </c>
      <c r="K76" s="37">
        <f t="shared" ref="K76:K96" si="11">G76</f>
        <v>-2.3868650000003981</v>
      </c>
      <c r="O76" s="37">
        <f t="shared" ca="1" si="10"/>
        <v>-2.4332435445663054</v>
      </c>
      <c r="Q76" s="63">
        <f t="shared" si="9"/>
        <v>38795.887609999998</v>
      </c>
    </row>
    <row r="77" spans="1:32" s="37" customFormat="1" ht="12.95" customHeight="1" x14ac:dyDescent="0.2">
      <c r="A77" s="58" t="s">
        <v>307</v>
      </c>
      <c r="B77" s="59" t="s">
        <v>51</v>
      </c>
      <c r="C77" s="60">
        <v>54114.329599999997</v>
      </c>
      <c r="D77" s="61"/>
      <c r="E77" s="15">
        <f t="shared" si="6"/>
        <v>16329.197122875416</v>
      </c>
      <c r="F77" s="67">
        <f>ROUND(2*E77,0)/2+2</f>
        <v>16331</v>
      </c>
      <c r="G77" s="37">
        <f t="shared" si="8"/>
        <v>-2.5340700000015204</v>
      </c>
      <c r="K77" s="37">
        <f t="shared" si="11"/>
        <v>-2.5340700000015204</v>
      </c>
      <c r="O77" s="37">
        <f t="shared" ca="1" si="10"/>
        <v>-2.4525615586233132</v>
      </c>
      <c r="Q77" s="63">
        <f t="shared" si="9"/>
        <v>39095.829599999997</v>
      </c>
    </row>
    <row r="78" spans="1:32" s="37" customFormat="1" ht="12.95" customHeight="1" x14ac:dyDescent="0.2">
      <c r="A78" s="58" t="s">
        <v>146</v>
      </c>
      <c r="B78" s="59" t="s">
        <v>51</v>
      </c>
      <c r="C78" s="60">
        <v>54167.8413</v>
      </c>
      <c r="D78" s="61"/>
      <c r="E78" s="15">
        <f t="shared" si="6"/>
        <v>16367.268296847542</v>
      </c>
      <c r="F78" s="62">
        <f>ROUND(2*E78,0)/2+1.5</f>
        <v>16369</v>
      </c>
      <c r="G78" s="37">
        <f t="shared" si="8"/>
        <v>-2.4340300000039861</v>
      </c>
      <c r="K78" s="37">
        <f t="shared" si="11"/>
        <v>-2.4340300000039861</v>
      </c>
      <c r="O78" s="37">
        <f t="shared" ca="1" si="10"/>
        <v>-2.4559998936779559</v>
      </c>
      <c r="Q78" s="63">
        <f t="shared" si="9"/>
        <v>39149.3413</v>
      </c>
    </row>
    <row r="79" spans="1:32" s="37" customFormat="1" ht="12.95" customHeight="1" x14ac:dyDescent="0.2">
      <c r="A79" s="58" t="s">
        <v>146</v>
      </c>
      <c r="B79" s="59" t="s">
        <v>44</v>
      </c>
      <c r="C79" s="60">
        <v>54172.774899999997</v>
      </c>
      <c r="D79" s="61"/>
      <c r="E79" s="15">
        <f t="shared" si="6"/>
        <v>16370.778331922278</v>
      </c>
      <c r="F79" s="62">
        <f>ROUND(2*E79,0)/2+1.5</f>
        <v>16372.5</v>
      </c>
      <c r="G79" s="37">
        <f t="shared" si="8"/>
        <v>-2.4199250000019674</v>
      </c>
      <c r="K79" s="37">
        <f t="shared" si="11"/>
        <v>-2.4199250000019674</v>
      </c>
      <c r="O79" s="37">
        <f t="shared" ca="1" si="10"/>
        <v>-2.4563165824329891</v>
      </c>
      <c r="Q79" s="63">
        <f t="shared" si="9"/>
        <v>39154.274899999997</v>
      </c>
    </row>
    <row r="80" spans="1:32" s="37" customFormat="1" ht="12.95" customHeight="1" x14ac:dyDescent="0.2">
      <c r="A80" s="65" t="s">
        <v>61</v>
      </c>
      <c r="B80" s="64" t="s">
        <v>44</v>
      </c>
      <c r="C80" s="65">
        <v>54483.977899999998</v>
      </c>
      <c r="D80" s="65">
        <v>1.2999999999999999E-3</v>
      </c>
      <c r="E80" s="15">
        <f t="shared" si="6"/>
        <v>16592.185305605555</v>
      </c>
      <c r="F80" s="67">
        <f>ROUND(2*E80,0)/2+2</f>
        <v>16594</v>
      </c>
      <c r="G80" s="37">
        <f t="shared" si="8"/>
        <v>-2.5506800000002841</v>
      </c>
      <c r="K80" s="37">
        <f t="shared" si="11"/>
        <v>-2.5506800000002841</v>
      </c>
      <c r="O80" s="37">
        <f t="shared" ca="1" si="10"/>
        <v>-2.4763584565015004</v>
      </c>
      <c r="Q80" s="63">
        <f t="shared" si="9"/>
        <v>39465.477899999998</v>
      </c>
    </row>
    <row r="81" spans="1:32" s="37" customFormat="1" ht="12.95" customHeight="1" x14ac:dyDescent="0.2">
      <c r="A81" s="65" t="s">
        <v>61</v>
      </c>
      <c r="B81" s="64" t="s">
        <v>51</v>
      </c>
      <c r="C81" s="65">
        <v>54495.946400000001</v>
      </c>
      <c r="D81" s="65">
        <v>2.9999999999999997E-4</v>
      </c>
      <c r="E81" s="15">
        <f t="shared" si="6"/>
        <v>16600.700356439025</v>
      </c>
      <c r="F81" s="67">
        <f>ROUND(2*E81,0)/2+2</f>
        <v>16602.5</v>
      </c>
      <c r="G81" s="37">
        <f t="shared" si="8"/>
        <v>-2.5295249999981024</v>
      </c>
      <c r="K81" s="37">
        <f t="shared" si="11"/>
        <v>-2.5295249999981024</v>
      </c>
      <c r="O81" s="37">
        <f t="shared" ca="1" si="10"/>
        <v>-2.4771275577637231</v>
      </c>
      <c r="Q81" s="63">
        <f t="shared" si="9"/>
        <v>39477.446400000001</v>
      </c>
    </row>
    <row r="82" spans="1:32" s="37" customFormat="1" ht="12.95" customHeight="1" x14ac:dyDescent="0.2">
      <c r="A82" s="65" t="s">
        <v>61</v>
      </c>
      <c r="B82" s="64" t="s">
        <v>51</v>
      </c>
      <c r="C82" s="65">
        <v>54502.987699999998</v>
      </c>
      <c r="D82" s="65">
        <v>6.9999999999999999E-4</v>
      </c>
      <c r="E82" s="15">
        <f t="shared" si="6"/>
        <v>16605.709925510644</v>
      </c>
      <c r="F82" s="67">
        <f>ROUND(2*E82,0)/2+2</f>
        <v>16607.5</v>
      </c>
      <c r="G82" s="37">
        <f t="shared" si="8"/>
        <v>-2.5160750000068219</v>
      </c>
      <c r="K82" s="37">
        <f t="shared" si="11"/>
        <v>-2.5160750000068219</v>
      </c>
      <c r="O82" s="37">
        <f t="shared" ca="1" si="10"/>
        <v>-2.4775799702709129</v>
      </c>
      <c r="Q82" s="63">
        <f t="shared" si="9"/>
        <v>39484.487699999998</v>
      </c>
    </row>
    <row r="83" spans="1:32" s="37" customFormat="1" ht="12.95" customHeight="1" x14ac:dyDescent="0.2">
      <c r="A83" s="65" t="s">
        <v>61</v>
      </c>
      <c r="B83" s="64" t="s">
        <v>44</v>
      </c>
      <c r="C83" s="65">
        <v>54507.917300000001</v>
      </c>
      <c r="D83" s="65">
        <v>5.9999999999999995E-4</v>
      </c>
      <c r="E83" s="15">
        <f t="shared" si="6"/>
        <v>16609.21711476483</v>
      </c>
      <c r="F83" s="67">
        <f>ROUND(2*E83,0)/2+2</f>
        <v>16611</v>
      </c>
      <c r="G83" s="37">
        <f t="shared" si="8"/>
        <v>-2.5059699999983422</v>
      </c>
      <c r="K83" s="37">
        <f t="shared" si="11"/>
        <v>-2.5059699999983422</v>
      </c>
      <c r="O83" s="37">
        <f t="shared" ca="1" si="10"/>
        <v>-2.4778966590259461</v>
      </c>
      <c r="Q83" s="63">
        <f t="shared" si="9"/>
        <v>39489.417300000001</v>
      </c>
    </row>
    <row r="84" spans="1:32" s="37" customFormat="1" ht="12.95" customHeight="1" x14ac:dyDescent="0.2">
      <c r="A84" s="58" t="s">
        <v>340</v>
      </c>
      <c r="B84" s="59" t="s">
        <v>44</v>
      </c>
      <c r="C84" s="60">
        <v>54555.0893</v>
      </c>
      <c r="D84" s="61"/>
      <c r="E84" s="15">
        <f t="shared" si="6"/>
        <v>16642.77787659099</v>
      </c>
      <c r="F84" s="62">
        <f>ROUND(2*E84,0)/2+1.5</f>
        <v>16644.5</v>
      </c>
      <c r="G84" s="37">
        <f t="shared" si="8"/>
        <v>-2.4205650000003516</v>
      </c>
      <c r="K84" s="37">
        <f t="shared" si="11"/>
        <v>-2.4205650000003516</v>
      </c>
      <c r="O84" s="37">
        <f t="shared" ca="1" si="10"/>
        <v>-2.4809278228241181</v>
      </c>
      <c r="Q84" s="63">
        <f t="shared" si="9"/>
        <v>39536.5893</v>
      </c>
    </row>
    <row r="85" spans="1:32" s="37" customFormat="1" ht="12.95" customHeight="1" x14ac:dyDescent="0.2">
      <c r="A85" s="65" t="s">
        <v>61</v>
      </c>
      <c r="B85" s="64" t="s">
        <v>51</v>
      </c>
      <c r="C85" s="65">
        <v>54567.763899999998</v>
      </c>
      <c r="D85" s="65">
        <v>2.9999999999999997E-4</v>
      </c>
      <c r="E85" s="15">
        <f t="shared" ref="E85:E111" si="12">+(C85-C$7)/C$8</f>
        <v>16651.795285898246</v>
      </c>
      <c r="F85" s="62">
        <f>ROUND(2*E85,0)/2+1.5</f>
        <v>16653.5</v>
      </c>
      <c r="G85" s="37">
        <f t="shared" ref="G85:G111" si="13">+C85-(C$7+F85*C$8)</f>
        <v>-2.3960949999964214</v>
      </c>
      <c r="K85" s="37">
        <f t="shared" si="11"/>
        <v>-2.3960949999964214</v>
      </c>
      <c r="O85" s="37">
        <f t="shared" ca="1" si="10"/>
        <v>-2.4817421653370597</v>
      </c>
      <c r="Q85" s="63">
        <f t="shared" ref="Q85:Q111" si="14">+C85-15018.5</f>
        <v>39549.263899999998</v>
      </c>
    </row>
    <row r="86" spans="1:32" s="37" customFormat="1" ht="12.95" customHeight="1" x14ac:dyDescent="0.2">
      <c r="A86" s="65" t="s">
        <v>61</v>
      </c>
      <c r="B86" s="64" t="s">
        <v>51</v>
      </c>
      <c r="C86" s="65">
        <v>54584.662100000001</v>
      </c>
      <c r="D86" s="65">
        <v>2.9999999999999997E-4</v>
      </c>
      <c r="E86" s="15">
        <f t="shared" si="12"/>
        <v>16663.817597131416</v>
      </c>
      <c r="F86" s="62">
        <f>ROUND(2*E86,0)/2+1.5</f>
        <v>16665.5</v>
      </c>
      <c r="G86" s="37">
        <f t="shared" si="13"/>
        <v>-2.3647349999955622</v>
      </c>
      <c r="K86" s="37">
        <f t="shared" si="11"/>
        <v>-2.3647349999955622</v>
      </c>
      <c r="O86" s="37">
        <f t="shared" ca="1" si="10"/>
        <v>-2.4828279553543156</v>
      </c>
      <c r="Q86" s="63">
        <f t="shared" si="14"/>
        <v>39566.162100000001</v>
      </c>
    </row>
    <row r="87" spans="1:32" s="37" customFormat="1" ht="12.95" customHeight="1" x14ac:dyDescent="0.2">
      <c r="A87" s="65" t="s">
        <v>61</v>
      </c>
      <c r="B87" s="64" t="s">
        <v>51</v>
      </c>
      <c r="C87" s="65">
        <v>54584.663</v>
      </c>
      <c r="D87" s="65">
        <v>2.9999999999999997E-4</v>
      </c>
      <c r="E87" s="15">
        <f t="shared" si="12"/>
        <v>16663.818237441039</v>
      </c>
      <c r="F87" s="62">
        <f>ROUND(2*E87,0)/2+1.5</f>
        <v>16665.5</v>
      </c>
      <c r="G87" s="37">
        <f t="shared" si="13"/>
        <v>-2.3638349999964703</v>
      </c>
      <c r="K87" s="37">
        <f t="shared" si="11"/>
        <v>-2.3638349999964703</v>
      </c>
      <c r="O87" s="37">
        <f t="shared" ca="1" si="10"/>
        <v>-2.4828279553543156</v>
      </c>
      <c r="Q87" s="63">
        <f t="shared" si="14"/>
        <v>39566.163</v>
      </c>
    </row>
    <row r="88" spans="1:32" s="37" customFormat="1" ht="12.95" customHeight="1" x14ac:dyDescent="0.2">
      <c r="A88" s="65" t="s">
        <v>61</v>
      </c>
      <c r="B88" s="64" t="s">
        <v>51</v>
      </c>
      <c r="C88" s="65">
        <v>54591.703099999999</v>
      </c>
      <c r="D88" s="65">
        <v>2.9999999999999997E-4</v>
      </c>
      <c r="E88" s="15">
        <f t="shared" si="12"/>
        <v>16668.826952766492</v>
      </c>
      <c r="F88" s="62">
        <f>ROUND(2*E88,0)/2+1.5</f>
        <v>16670.5</v>
      </c>
      <c r="G88" s="37">
        <f t="shared" si="13"/>
        <v>-2.3515849999967031</v>
      </c>
      <c r="K88" s="37">
        <f t="shared" si="11"/>
        <v>-2.3515849999967031</v>
      </c>
      <c r="O88" s="37">
        <f t="shared" ca="1" si="10"/>
        <v>-2.4832803678615054</v>
      </c>
      <c r="Q88" s="63">
        <f t="shared" si="14"/>
        <v>39573.203099999999</v>
      </c>
    </row>
    <row r="89" spans="1:32" s="37" customFormat="1" ht="12.95" customHeight="1" x14ac:dyDescent="0.2">
      <c r="A89" s="68" t="s">
        <v>70</v>
      </c>
      <c r="B89" s="69" t="s">
        <v>51</v>
      </c>
      <c r="C89" s="70">
        <v>54905.726600000002</v>
      </c>
      <c r="D89" s="70">
        <v>2.0000000000000001E-4</v>
      </c>
      <c r="E89" s="15">
        <f t="shared" si="12"/>
        <v>16892.240585669872</v>
      </c>
      <c r="F89" s="67">
        <f t="shared" ref="F89:F113" si="15">ROUND(2*E89,0)/2+2</f>
        <v>16894</v>
      </c>
      <c r="G89" s="37">
        <f t="shared" si="13"/>
        <v>-2.4729799999986426</v>
      </c>
      <c r="K89" s="37">
        <f t="shared" si="11"/>
        <v>-2.4729799999986426</v>
      </c>
      <c r="O89" s="37">
        <f t="shared" ca="1" si="10"/>
        <v>-2.5035032069328924</v>
      </c>
      <c r="Q89" s="63">
        <f t="shared" si="14"/>
        <v>39887.226600000002</v>
      </c>
    </row>
    <row r="90" spans="1:32" s="37" customFormat="1" ht="12.95" customHeight="1" x14ac:dyDescent="0.2">
      <c r="A90" s="58" t="s">
        <v>435</v>
      </c>
      <c r="B90" s="59" t="s">
        <v>44</v>
      </c>
      <c r="C90" s="60">
        <v>55192.9954</v>
      </c>
      <c r="D90" s="61"/>
      <c r="E90" s="15">
        <f t="shared" si="12"/>
        <v>17096.619449760594</v>
      </c>
      <c r="F90" s="67">
        <f t="shared" si="15"/>
        <v>17098.5</v>
      </c>
      <c r="G90" s="37">
        <f t="shared" si="13"/>
        <v>-2.6432449999992969</v>
      </c>
      <c r="K90" s="37">
        <f t="shared" si="11"/>
        <v>-2.6432449999992969</v>
      </c>
      <c r="O90" s="37">
        <f t="shared" ca="1" si="10"/>
        <v>-2.5220068784769585</v>
      </c>
      <c r="Q90" s="63">
        <f t="shared" si="14"/>
        <v>40174.4954</v>
      </c>
    </row>
    <row r="91" spans="1:32" s="37" customFormat="1" ht="12.95" customHeight="1" x14ac:dyDescent="0.2">
      <c r="A91" s="58" t="s">
        <v>435</v>
      </c>
      <c r="B91" s="59" t="s">
        <v>44</v>
      </c>
      <c r="C91" s="60">
        <v>55209.894099999998</v>
      </c>
      <c r="D91" s="61"/>
      <c r="E91" s="15">
        <f t="shared" si="12"/>
        <v>17108.64211672133</v>
      </c>
      <c r="F91" s="67">
        <f t="shared" si="15"/>
        <v>17110.5</v>
      </c>
      <c r="G91" s="37">
        <f t="shared" si="13"/>
        <v>-2.6113850000037928</v>
      </c>
      <c r="K91" s="37">
        <f t="shared" si="11"/>
        <v>-2.6113850000037928</v>
      </c>
      <c r="O91" s="37">
        <f t="shared" ca="1" si="10"/>
        <v>-2.5230926684942139</v>
      </c>
      <c r="Q91" s="63">
        <f t="shared" si="14"/>
        <v>40191.394099999998</v>
      </c>
    </row>
    <row r="92" spans="1:32" s="37" customFormat="1" ht="12.95" customHeight="1" x14ac:dyDescent="0.2">
      <c r="A92" s="16" t="s">
        <v>64</v>
      </c>
      <c r="B92" s="17" t="s">
        <v>51</v>
      </c>
      <c r="C92" s="16">
        <v>55240.876100000001</v>
      </c>
      <c r="D92" s="16">
        <v>5.0000000000000001E-4</v>
      </c>
      <c r="E92" s="15">
        <f t="shared" si="12"/>
        <v>17130.684419843907</v>
      </c>
      <c r="F92" s="67">
        <f t="shared" si="15"/>
        <v>17132.5</v>
      </c>
      <c r="G92" s="37">
        <f t="shared" si="13"/>
        <v>-2.5519249999997555</v>
      </c>
      <c r="K92" s="37">
        <f t="shared" si="11"/>
        <v>-2.5519249999997555</v>
      </c>
      <c r="O92" s="37">
        <f t="shared" ca="1" si="10"/>
        <v>-2.5250832835258494</v>
      </c>
      <c r="Q92" s="63">
        <f t="shared" si="14"/>
        <v>40222.376100000001</v>
      </c>
    </row>
    <row r="93" spans="1:32" s="37" customFormat="1" ht="12.95" customHeight="1" x14ac:dyDescent="0.2">
      <c r="A93" s="68" t="s">
        <v>71</v>
      </c>
      <c r="B93" s="69" t="s">
        <v>51</v>
      </c>
      <c r="C93" s="70">
        <v>55279.600400000003</v>
      </c>
      <c r="D93" s="70">
        <v>5.9999999999999995E-4</v>
      </c>
      <c r="E93" s="15">
        <f t="shared" si="12"/>
        <v>17158.235022090685</v>
      </c>
      <c r="F93" s="67">
        <f t="shared" si="15"/>
        <v>17160</v>
      </c>
      <c r="G93" s="37">
        <f t="shared" si="13"/>
        <v>-2.4807999999975436</v>
      </c>
      <c r="K93" s="37">
        <f t="shared" si="11"/>
        <v>-2.4807999999975436</v>
      </c>
      <c r="O93" s="37">
        <f t="shared" ca="1" si="10"/>
        <v>-2.5275715523153939</v>
      </c>
      <c r="Q93" s="63">
        <f t="shared" si="14"/>
        <v>40261.100400000003</v>
      </c>
    </row>
    <row r="94" spans="1:32" s="37" customFormat="1" ht="12.95" customHeight="1" x14ac:dyDescent="0.2">
      <c r="A94" s="58" t="s">
        <v>387</v>
      </c>
      <c r="B94" s="59" t="s">
        <v>51</v>
      </c>
      <c r="C94" s="60">
        <v>55566.162400000001</v>
      </c>
      <c r="D94" s="61"/>
      <c r="E94" s="15">
        <f t="shared" si="12"/>
        <v>17362.111029689026</v>
      </c>
      <c r="F94" s="67">
        <f t="shared" si="15"/>
        <v>17364</v>
      </c>
      <c r="G94" s="37">
        <f t="shared" si="13"/>
        <v>-2.6550799999968149</v>
      </c>
      <c r="K94" s="37">
        <f t="shared" si="11"/>
        <v>-2.6550799999968149</v>
      </c>
      <c r="O94" s="37">
        <f t="shared" ca="1" si="10"/>
        <v>-2.5460299826087409</v>
      </c>
      <c r="Q94" s="63">
        <f t="shared" si="14"/>
        <v>40547.662400000001</v>
      </c>
    </row>
    <row r="95" spans="1:32" s="37" customFormat="1" ht="12.95" customHeight="1" x14ac:dyDescent="0.2">
      <c r="A95" s="16" t="s">
        <v>67</v>
      </c>
      <c r="B95" s="17" t="s">
        <v>51</v>
      </c>
      <c r="C95" s="16">
        <v>55585.878700000001</v>
      </c>
      <c r="D95" s="16">
        <v>2.0000000000000001E-4</v>
      </c>
      <c r="E95" s="15">
        <f t="shared" si="12"/>
        <v>17376.138292649957</v>
      </c>
      <c r="F95" s="67">
        <f t="shared" si="15"/>
        <v>17378</v>
      </c>
      <c r="G95" s="37">
        <f t="shared" si="13"/>
        <v>-2.6167599999971571</v>
      </c>
      <c r="K95" s="37">
        <f t="shared" si="11"/>
        <v>-2.6167599999971571</v>
      </c>
      <c r="O95" s="37">
        <f t="shared" ca="1" si="10"/>
        <v>-2.5472967376288724</v>
      </c>
      <c r="Q95" s="63">
        <f t="shared" si="14"/>
        <v>40567.378700000001</v>
      </c>
    </row>
    <row r="96" spans="1:32" s="37" customFormat="1" ht="12.95" customHeight="1" x14ac:dyDescent="0.2">
      <c r="A96" s="58" t="s">
        <v>399</v>
      </c>
      <c r="B96" s="59" t="s">
        <v>51</v>
      </c>
      <c r="C96" s="60">
        <v>55601.367899999997</v>
      </c>
      <c r="D96" s="61"/>
      <c r="E96" s="15">
        <f t="shared" si="12"/>
        <v>17387.158163591994</v>
      </c>
      <c r="F96" s="67">
        <f t="shared" si="15"/>
        <v>17389</v>
      </c>
      <c r="G96" s="37">
        <f t="shared" si="13"/>
        <v>-2.5888300000005984</v>
      </c>
      <c r="K96" s="37">
        <f t="shared" si="11"/>
        <v>-2.5888300000005984</v>
      </c>
      <c r="O96" s="37">
        <f t="shared" ca="1" si="10"/>
        <v>-2.5482920451446898</v>
      </c>
      <c r="Q96" s="63">
        <f t="shared" si="14"/>
        <v>40582.867899999997</v>
      </c>
      <c r="AA96" s="37" t="s">
        <v>30</v>
      </c>
      <c r="AB96" s="37">
        <v>7</v>
      </c>
      <c r="AD96" s="37" t="s">
        <v>36</v>
      </c>
      <c r="AF96" s="37" t="s">
        <v>33</v>
      </c>
    </row>
    <row r="97" spans="1:32" s="37" customFormat="1" ht="12.95" customHeight="1" x14ac:dyDescent="0.2">
      <c r="A97" s="16" t="s">
        <v>68</v>
      </c>
      <c r="B97" s="17" t="s">
        <v>51</v>
      </c>
      <c r="C97" s="16">
        <v>55625.3079</v>
      </c>
      <c r="D97" s="16">
        <v>1.6999999999999999E-3</v>
      </c>
      <c r="E97" s="15">
        <f t="shared" si="12"/>
        <v>17404.190399624353</v>
      </c>
      <c r="F97" s="67">
        <f t="shared" si="15"/>
        <v>17406</v>
      </c>
      <c r="G97" s="37">
        <f t="shared" si="13"/>
        <v>-2.5435199999992619</v>
      </c>
      <c r="J97" s="37">
        <f>G97</f>
        <v>-2.5435199999992619</v>
      </c>
      <c r="O97" s="37">
        <f t="shared" ca="1" si="10"/>
        <v>-2.5498302476691359</v>
      </c>
      <c r="Q97" s="63">
        <f t="shared" si="14"/>
        <v>40606.8079</v>
      </c>
    </row>
    <row r="98" spans="1:32" s="37" customFormat="1" ht="12.95" customHeight="1" x14ac:dyDescent="0.2">
      <c r="A98" s="58" t="s">
        <v>404</v>
      </c>
      <c r="B98" s="59" t="s">
        <v>51</v>
      </c>
      <c r="C98" s="60">
        <v>55625.313099999999</v>
      </c>
      <c r="D98" s="61"/>
      <c r="E98" s="15">
        <f t="shared" si="12"/>
        <v>17404.194099191074</v>
      </c>
      <c r="F98" s="67">
        <f t="shared" si="15"/>
        <v>17406</v>
      </c>
      <c r="G98" s="37">
        <f t="shared" si="13"/>
        <v>-2.5383199999996577</v>
      </c>
      <c r="K98" s="37">
        <f>G98</f>
        <v>-2.5383199999996577</v>
      </c>
      <c r="O98" s="37">
        <f t="shared" ca="1" si="10"/>
        <v>-2.5498302476691359</v>
      </c>
      <c r="Q98" s="63">
        <f t="shared" si="14"/>
        <v>40606.813099999999</v>
      </c>
      <c r="AA98" s="37" t="s">
        <v>30</v>
      </c>
      <c r="AF98" s="37" t="s">
        <v>35</v>
      </c>
    </row>
    <row r="99" spans="1:32" s="37" customFormat="1" ht="12.95" customHeight="1" x14ac:dyDescent="0.2">
      <c r="A99" s="16" t="s">
        <v>68</v>
      </c>
      <c r="B99" s="17" t="s">
        <v>51</v>
      </c>
      <c r="C99" s="16">
        <v>55625.313199999997</v>
      </c>
      <c r="D99" s="16">
        <v>8.0000000000000004E-4</v>
      </c>
      <c r="E99" s="15">
        <f t="shared" si="12"/>
        <v>17404.194170336588</v>
      </c>
      <c r="F99" s="67">
        <f t="shared" si="15"/>
        <v>17406</v>
      </c>
      <c r="G99" s="37">
        <f t="shared" si="13"/>
        <v>-2.538220000002184</v>
      </c>
      <c r="J99" s="37">
        <f>G99</f>
        <v>-2.538220000002184</v>
      </c>
      <c r="O99" s="37">
        <f t="shared" ca="1" si="10"/>
        <v>-2.5498302476691359</v>
      </c>
      <c r="Q99" s="63">
        <f t="shared" si="14"/>
        <v>40606.813199999997</v>
      </c>
    </row>
    <row r="100" spans="1:32" s="37" customFormat="1" ht="12.95" customHeight="1" x14ac:dyDescent="0.2">
      <c r="A100" s="70" t="s">
        <v>72</v>
      </c>
      <c r="B100" s="69" t="s">
        <v>44</v>
      </c>
      <c r="C100" s="70">
        <v>55650.654900000001</v>
      </c>
      <c r="D100" s="70">
        <v>2.0000000000000001E-4</v>
      </c>
      <c r="E100" s="15">
        <f t="shared" si="12"/>
        <v>17422.223653037559</v>
      </c>
      <c r="F100" s="67">
        <f t="shared" si="15"/>
        <v>17424</v>
      </c>
      <c r="G100" s="37">
        <f t="shared" si="13"/>
        <v>-2.4967799999940326</v>
      </c>
      <c r="K100" s="37">
        <f>G100</f>
        <v>-2.4967799999940326</v>
      </c>
      <c r="O100" s="37">
        <f t="shared" ca="1" si="10"/>
        <v>-2.5514589326950192</v>
      </c>
      <c r="Q100" s="63">
        <f t="shared" si="14"/>
        <v>40632.154900000001</v>
      </c>
    </row>
    <row r="101" spans="1:32" s="37" customFormat="1" ht="12.95" customHeight="1" x14ac:dyDescent="0.2">
      <c r="A101" s="58" t="s">
        <v>418</v>
      </c>
      <c r="B101" s="59" t="s">
        <v>44</v>
      </c>
      <c r="C101" s="60">
        <v>56687.076099999998</v>
      </c>
      <c r="D101" s="61"/>
      <c r="E101" s="15">
        <f t="shared" si="12"/>
        <v>18159.590842149446</v>
      </c>
      <c r="F101" s="67">
        <f t="shared" si="15"/>
        <v>18161.5</v>
      </c>
      <c r="G101" s="37">
        <f t="shared" si="13"/>
        <v>-2.6834549999985029</v>
      </c>
      <c r="K101" s="37">
        <f>G101</f>
        <v>-2.6834549999985029</v>
      </c>
      <c r="O101" s="37">
        <f t="shared" ca="1" si="10"/>
        <v>-2.6181897775055254</v>
      </c>
      <c r="Q101" s="63">
        <f t="shared" si="14"/>
        <v>41668.576099999998</v>
      </c>
    </row>
    <row r="102" spans="1:32" s="37" customFormat="1" ht="12.95" customHeight="1" x14ac:dyDescent="0.2">
      <c r="A102" s="58" t="s">
        <v>418</v>
      </c>
      <c r="B102" s="59" t="s">
        <v>44</v>
      </c>
      <c r="C102" s="60">
        <v>56701.158799999997</v>
      </c>
      <c r="D102" s="61"/>
      <c r="E102" s="15">
        <f t="shared" si="12"/>
        <v>18169.610051438205</v>
      </c>
      <c r="F102" s="67">
        <f t="shared" si="15"/>
        <v>18171.5</v>
      </c>
      <c r="G102" s="37">
        <f t="shared" si="13"/>
        <v>-2.6564550000039162</v>
      </c>
      <c r="K102" s="37">
        <f>G102</f>
        <v>-2.6564550000039162</v>
      </c>
      <c r="O102" s="37">
        <f t="shared" ca="1" si="10"/>
        <v>-2.6190946025199051</v>
      </c>
      <c r="Q102" s="63">
        <f t="shared" si="14"/>
        <v>41682.658799999997</v>
      </c>
    </row>
    <row r="103" spans="1:32" s="37" customFormat="1" ht="12.95" customHeight="1" x14ac:dyDescent="0.2">
      <c r="A103" s="71" t="s">
        <v>73</v>
      </c>
      <c r="B103" s="72"/>
      <c r="C103" s="71">
        <v>57074.325499999999</v>
      </c>
      <c r="D103" s="71">
        <v>1.1000000000000001E-3</v>
      </c>
      <c r="E103" s="15">
        <f t="shared" si="12"/>
        <v>18435.101417930091</v>
      </c>
      <c r="F103" s="67">
        <f t="shared" si="15"/>
        <v>18437</v>
      </c>
      <c r="G103" s="37">
        <f t="shared" si="13"/>
        <v>-2.6685900000011316</v>
      </c>
      <c r="J103" s="37">
        <f>G103</f>
        <v>-2.6685900000011316</v>
      </c>
      <c r="O103" s="37">
        <f t="shared" ca="1" si="10"/>
        <v>-2.6431177066516875</v>
      </c>
      <c r="Q103" s="63">
        <f t="shared" si="14"/>
        <v>42055.825499999999</v>
      </c>
    </row>
    <row r="104" spans="1:32" s="37" customFormat="1" ht="12.95" customHeight="1" x14ac:dyDescent="0.2">
      <c r="A104" s="31" t="s">
        <v>430</v>
      </c>
      <c r="B104" s="32" t="s">
        <v>51</v>
      </c>
      <c r="C104" s="31">
        <v>57106.714099999997</v>
      </c>
      <c r="D104" s="31">
        <v>1E-4</v>
      </c>
      <c r="E104" s="15">
        <f t="shared" si="12"/>
        <v>18458.144453851462</v>
      </c>
      <c r="F104" s="67">
        <f t="shared" si="15"/>
        <v>18460</v>
      </c>
      <c r="G104" s="37">
        <f t="shared" si="13"/>
        <v>-2.6080999999976484</v>
      </c>
      <c r="K104" s="37">
        <f t="shared" ref="K104:K111" si="16">G104</f>
        <v>-2.6080999999976484</v>
      </c>
      <c r="O104" s="37">
        <f t="shared" ca="1" si="10"/>
        <v>-2.6451988041847607</v>
      </c>
      <c r="Q104" s="63">
        <f t="shared" si="14"/>
        <v>42088.214099999997</v>
      </c>
    </row>
    <row r="105" spans="1:32" s="37" customFormat="1" ht="12.95" customHeight="1" x14ac:dyDescent="0.2">
      <c r="A105" s="31" t="s">
        <v>430</v>
      </c>
      <c r="B105" s="32" t="s">
        <v>51</v>
      </c>
      <c r="C105" s="31">
        <v>57355.960700000003</v>
      </c>
      <c r="D105" s="31">
        <v>2.0000000000000001E-4</v>
      </c>
      <c r="E105" s="15">
        <f t="shared" si="12"/>
        <v>18635.472228348644</v>
      </c>
      <c r="F105" s="67">
        <f t="shared" si="15"/>
        <v>18637.5</v>
      </c>
      <c r="G105" s="37">
        <f t="shared" si="13"/>
        <v>-2.8501749999923049</v>
      </c>
      <c r="K105" s="37">
        <f t="shared" si="16"/>
        <v>-2.8501749999923049</v>
      </c>
      <c r="O105" s="37">
        <f t="shared" ca="1" si="10"/>
        <v>-2.6612594481900009</v>
      </c>
      <c r="Q105" s="63">
        <f t="shared" si="14"/>
        <v>42337.460700000003</v>
      </c>
    </row>
    <row r="106" spans="1:32" s="37" customFormat="1" ht="12.95" customHeight="1" x14ac:dyDescent="0.2">
      <c r="A106" s="31" t="s">
        <v>431</v>
      </c>
      <c r="B106" s="32" t="s">
        <v>51</v>
      </c>
      <c r="C106" s="31">
        <v>57444.677499999998</v>
      </c>
      <c r="D106" s="31">
        <v>1E-4</v>
      </c>
      <c r="E106" s="15">
        <f t="shared" si="12"/>
        <v>18698.590251641683</v>
      </c>
      <c r="F106" s="67">
        <f t="shared" si="15"/>
        <v>18700.5</v>
      </c>
      <c r="G106" s="37">
        <f t="shared" si="13"/>
        <v>-2.6842850000030012</v>
      </c>
      <c r="K106" s="37">
        <f t="shared" si="16"/>
        <v>-2.6842850000030012</v>
      </c>
      <c r="O106" s="37">
        <f t="shared" ca="1" si="10"/>
        <v>-2.6669598457805934</v>
      </c>
      <c r="Q106" s="63">
        <f t="shared" si="14"/>
        <v>42426.177499999998</v>
      </c>
    </row>
    <row r="107" spans="1:32" s="37" customFormat="1" ht="12.95" customHeight="1" x14ac:dyDescent="0.2">
      <c r="A107" s="68" t="s">
        <v>436</v>
      </c>
      <c r="B107" s="69" t="s">
        <v>51</v>
      </c>
      <c r="C107" s="70">
        <v>57827.700700000001</v>
      </c>
      <c r="D107" s="70">
        <v>1E-4</v>
      </c>
      <c r="E107" s="15">
        <f t="shared" si="12"/>
        <v>18971.094075713056</v>
      </c>
      <c r="F107" s="48">
        <f t="shared" si="15"/>
        <v>18973</v>
      </c>
      <c r="G107" s="37">
        <f t="shared" si="13"/>
        <v>-2.6789100000023609</v>
      </c>
      <c r="K107" s="37">
        <f t="shared" si="16"/>
        <v>-2.6789100000023609</v>
      </c>
      <c r="O107" s="37">
        <f t="shared" ca="1" si="10"/>
        <v>-2.6916163274224418</v>
      </c>
      <c r="Q107" s="63">
        <f t="shared" si="14"/>
        <v>42809.200700000001</v>
      </c>
    </row>
    <row r="108" spans="1:32" s="37" customFormat="1" ht="12.95" customHeight="1" x14ac:dyDescent="0.2">
      <c r="A108" s="68" t="s">
        <v>436</v>
      </c>
      <c r="B108" s="69" t="s">
        <v>51</v>
      </c>
      <c r="C108" s="70">
        <v>58210.726600000002</v>
      </c>
      <c r="D108" s="70">
        <v>2.0000000000000001E-4</v>
      </c>
      <c r="E108" s="15">
        <f t="shared" si="12"/>
        <v>19243.599820713305</v>
      </c>
      <c r="F108" s="48">
        <f t="shared" si="15"/>
        <v>19245.5</v>
      </c>
      <c r="G108" s="37">
        <f t="shared" si="13"/>
        <v>-2.6708349999971688</v>
      </c>
      <c r="K108" s="37">
        <f t="shared" si="16"/>
        <v>-2.6708349999971688</v>
      </c>
      <c r="O108" s="37">
        <f t="shared" ca="1" si="10"/>
        <v>-2.7162728090642894</v>
      </c>
      <c r="Q108" s="63">
        <f t="shared" si="14"/>
        <v>43192.226600000002</v>
      </c>
    </row>
    <row r="109" spans="1:32" s="37" customFormat="1" ht="12.95" customHeight="1" x14ac:dyDescent="0.2">
      <c r="A109" s="73" t="s">
        <v>437</v>
      </c>
      <c r="B109" s="74" t="s">
        <v>51</v>
      </c>
      <c r="C109" s="75">
        <v>58907.776400000002</v>
      </c>
      <c r="D109" s="75">
        <v>2.0000000000000001E-4</v>
      </c>
      <c r="E109" s="15">
        <f t="shared" si="12"/>
        <v>19739.51948319899</v>
      </c>
      <c r="F109" s="48">
        <f t="shared" si="15"/>
        <v>19741.5</v>
      </c>
      <c r="G109" s="37">
        <f t="shared" si="13"/>
        <v>-2.783754999996745</v>
      </c>
      <c r="K109" s="37">
        <f t="shared" si="16"/>
        <v>-2.783754999996745</v>
      </c>
      <c r="O109" s="37">
        <f t="shared" ca="1" si="10"/>
        <v>-2.7611521297775248</v>
      </c>
      <c r="Q109" s="63">
        <f t="shared" si="14"/>
        <v>43889.276400000002</v>
      </c>
    </row>
    <row r="110" spans="1:32" s="37" customFormat="1" ht="12.95" customHeight="1" x14ac:dyDescent="0.2">
      <c r="A110" s="68" t="s">
        <v>438</v>
      </c>
      <c r="B110" s="69" t="s">
        <v>51</v>
      </c>
      <c r="C110" s="70">
        <v>59293.6181</v>
      </c>
      <c r="D110" s="70">
        <v>2.9999999999999997E-4</v>
      </c>
      <c r="E110" s="15">
        <f t="shared" si="12"/>
        <v>20014.028543580185</v>
      </c>
      <c r="F110" s="48">
        <f t="shared" si="15"/>
        <v>20016</v>
      </c>
      <c r="G110" s="37">
        <f t="shared" si="13"/>
        <v>-2.771020000000135</v>
      </c>
      <c r="K110" s="37">
        <f t="shared" si="16"/>
        <v>-2.771020000000135</v>
      </c>
      <c r="O110" s="37">
        <f t="shared" ca="1" si="10"/>
        <v>-2.7859895764222493</v>
      </c>
      <c r="Q110" s="63">
        <f t="shared" si="14"/>
        <v>44275.1181</v>
      </c>
    </row>
    <row r="111" spans="1:32" s="37" customFormat="1" ht="12.95" customHeight="1" x14ac:dyDescent="0.2">
      <c r="A111" s="33" t="s">
        <v>439</v>
      </c>
      <c r="B111" s="34" t="s">
        <v>51</v>
      </c>
      <c r="C111" s="36">
        <v>59710.439599999998</v>
      </c>
      <c r="D111" s="35">
        <v>2.0000000000000001E-4</v>
      </c>
      <c r="E111" s="15">
        <f t="shared" si="12"/>
        <v>20310.57834188265</v>
      </c>
      <c r="F111" s="48">
        <f t="shared" si="15"/>
        <v>20312.5</v>
      </c>
      <c r="G111" s="37">
        <f t="shared" si="13"/>
        <v>-2.7010250000021188</v>
      </c>
      <c r="K111" s="37">
        <f t="shared" si="16"/>
        <v>-2.7010250000021188</v>
      </c>
      <c r="O111" s="37">
        <f t="shared" ca="1" si="10"/>
        <v>-2.8128176380986085</v>
      </c>
      <c r="Q111" s="63">
        <f t="shared" si="14"/>
        <v>44691.939599999998</v>
      </c>
    </row>
    <row r="112" spans="1:32" s="37" customFormat="1" ht="12.95" customHeight="1" x14ac:dyDescent="0.2">
      <c r="A112" s="76" t="s">
        <v>440</v>
      </c>
      <c r="B112" s="77" t="s">
        <v>51</v>
      </c>
      <c r="C112" s="35">
        <v>59987.850700000003</v>
      </c>
      <c r="D112" s="35">
        <v>2.0000000000000001E-4</v>
      </c>
      <c r="E112" s="15">
        <f t="shared" ref="E112:E113" si="17">+(C112-C$7)/C$8</f>
        <v>20507.943894647724</v>
      </c>
      <c r="F112" s="48">
        <f t="shared" si="15"/>
        <v>20510</v>
      </c>
      <c r="G112" s="37">
        <f t="shared" ref="G112:G113" si="18">+C112-(C$7+F112*C$8)</f>
        <v>-2.889999999992142</v>
      </c>
      <c r="K112" s="37">
        <f t="shared" ref="K112:K113" si="19">G112</f>
        <v>-2.889999999992142</v>
      </c>
      <c r="O112" s="37">
        <f t="shared" ref="O112:O113" ca="1" si="20">+C$11+C$12*F112</f>
        <v>-2.8306879321326086</v>
      </c>
      <c r="Q112" s="63">
        <f t="shared" ref="Q112:Q113" si="21">+C112-15018.5</f>
        <v>44969.350700000003</v>
      </c>
    </row>
    <row r="113" spans="1:17" s="37" customFormat="1" ht="12.95" customHeight="1" x14ac:dyDescent="0.2">
      <c r="A113" s="76" t="s">
        <v>440</v>
      </c>
      <c r="B113" s="77" t="s">
        <v>51</v>
      </c>
      <c r="C113" s="35">
        <v>60079.383500000004</v>
      </c>
      <c r="D113" s="35">
        <v>2.0000000000000001E-4</v>
      </c>
      <c r="E113" s="15">
        <f t="shared" si="17"/>
        <v>20573.065375612743</v>
      </c>
      <c r="F113" s="48">
        <f t="shared" si="15"/>
        <v>20575</v>
      </c>
      <c r="G113" s="37">
        <f t="shared" si="18"/>
        <v>-2.7192499999946449</v>
      </c>
      <c r="K113" s="37">
        <f t="shared" si="19"/>
        <v>-2.7192499999946449</v>
      </c>
      <c r="O113" s="37">
        <f t="shared" ca="1" si="20"/>
        <v>-2.8365692947260768</v>
      </c>
      <c r="Q113" s="63">
        <f t="shared" si="21"/>
        <v>45060.883500000004</v>
      </c>
    </row>
    <row r="114" spans="1:17" s="37" customFormat="1" ht="12.95" customHeight="1" x14ac:dyDescent="0.2">
      <c r="B114" s="40"/>
      <c r="C114" s="61"/>
      <c r="D114" s="61"/>
    </row>
    <row r="115" spans="1:17" s="37" customFormat="1" ht="12.95" customHeight="1" x14ac:dyDescent="0.2">
      <c r="B115" s="40"/>
      <c r="C115" s="61"/>
      <c r="D115" s="61"/>
    </row>
    <row r="116" spans="1:17" s="37" customFormat="1" ht="12.95" customHeight="1" x14ac:dyDescent="0.2">
      <c r="B116" s="40"/>
      <c r="C116" s="61"/>
      <c r="D116" s="61"/>
    </row>
    <row r="117" spans="1:17" s="37" customFormat="1" ht="12.95" customHeight="1" x14ac:dyDescent="0.2">
      <c r="B117" s="40"/>
      <c r="C117" s="61"/>
      <c r="D117" s="61"/>
    </row>
    <row r="118" spans="1:17" s="37" customFormat="1" ht="12.95" customHeight="1" x14ac:dyDescent="0.2">
      <c r="B118" s="40"/>
      <c r="C118" s="61"/>
      <c r="D118" s="61"/>
    </row>
    <row r="119" spans="1:17" s="37" customFormat="1" ht="12.95" customHeight="1" x14ac:dyDescent="0.2">
      <c r="B119" s="40"/>
      <c r="C119" s="61"/>
      <c r="D119" s="61"/>
    </row>
    <row r="120" spans="1:17" s="37" customFormat="1" ht="12.95" customHeight="1" x14ac:dyDescent="0.2">
      <c r="B120" s="40"/>
      <c r="C120" s="61"/>
      <c r="D120" s="61"/>
    </row>
    <row r="121" spans="1:17" s="37" customFormat="1" ht="12.95" customHeight="1" x14ac:dyDescent="0.2">
      <c r="B121" s="40"/>
      <c r="C121" s="61"/>
      <c r="D121" s="61"/>
    </row>
    <row r="122" spans="1:17" s="37" customFormat="1" ht="12.95" customHeight="1" x14ac:dyDescent="0.2">
      <c r="B122" s="40"/>
      <c r="C122" s="61"/>
      <c r="D122" s="61"/>
    </row>
    <row r="123" spans="1:17" s="37" customFormat="1" ht="12.95" customHeight="1" x14ac:dyDescent="0.2">
      <c r="B123" s="40"/>
      <c r="C123" s="61"/>
      <c r="D123" s="61"/>
    </row>
    <row r="124" spans="1:17" s="37" customFormat="1" ht="12.95" customHeight="1" x14ac:dyDescent="0.2">
      <c r="B124" s="40"/>
      <c r="C124" s="61"/>
      <c r="D124" s="61"/>
    </row>
    <row r="125" spans="1:17" s="37" customFormat="1" ht="12.95" customHeight="1" x14ac:dyDescent="0.2">
      <c r="B125" s="40"/>
      <c r="C125" s="61"/>
      <c r="D125" s="61"/>
    </row>
    <row r="126" spans="1:17" s="37" customFormat="1" ht="12.95" customHeight="1" x14ac:dyDescent="0.2">
      <c r="B126" s="40"/>
      <c r="C126" s="61"/>
      <c r="D126" s="61"/>
    </row>
    <row r="127" spans="1:17" s="37" customFormat="1" ht="12.95" customHeight="1" x14ac:dyDescent="0.2">
      <c r="B127" s="40"/>
      <c r="C127" s="61"/>
      <c r="D127" s="61"/>
    </row>
    <row r="128" spans="1:17" s="37" customFormat="1" ht="12.95" customHeight="1" x14ac:dyDescent="0.2">
      <c r="B128" s="40"/>
      <c r="C128" s="61"/>
      <c r="D128" s="61"/>
    </row>
    <row r="129" spans="2:4" s="37" customFormat="1" ht="12.95" customHeight="1" x14ac:dyDescent="0.2">
      <c r="B129" s="40"/>
      <c r="C129" s="61"/>
      <c r="D129" s="61"/>
    </row>
    <row r="130" spans="2:4" s="37" customFormat="1" ht="12.95" customHeight="1" x14ac:dyDescent="0.2">
      <c r="B130" s="40"/>
      <c r="C130" s="61"/>
      <c r="D130" s="61"/>
    </row>
    <row r="131" spans="2:4" s="37" customFormat="1" ht="12.95" customHeight="1" x14ac:dyDescent="0.2">
      <c r="B131" s="40"/>
      <c r="C131" s="61"/>
      <c r="D131" s="61"/>
    </row>
    <row r="132" spans="2:4" s="37" customFormat="1" ht="12.95" customHeight="1" x14ac:dyDescent="0.2">
      <c r="B132" s="40"/>
      <c r="C132" s="61"/>
      <c r="D132" s="61"/>
    </row>
    <row r="133" spans="2:4" s="37" customFormat="1" ht="12.95" customHeight="1" x14ac:dyDescent="0.2">
      <c r="B133" s="40"/>
      <c r="C133" s="61"/>
      <c r="D133" s="61"/>
    </row>
    <row r="134" spans="2:4" s="37" customFormat="1" ht="12.95" customHeight="1" x14ac:dyDescent="0.2">
      <c r="B134" s="40"/>
      <c r="C134" s="61"/>
      <c r="D134" s="61"/>
    </row>
    <row r="135" spans="2:4" s="37" customFormat="1" ht="12.95" customHeight="1" x14ac:dyDescent="0.2">
      <c r="B135" s="40"/>
      <c r="C135" s="61"/>
      <c r="D135" s="61"/>
    </row>
    <row r="136" spans="2:4" s="37" customFormat="1" ht="12.95" customHeight="1" x14ac:dyDescent="0.2">
      <c r="B136" s="40"/>
      <c r="C136" s="61"/>
      <c r="D136" s="61"/>
    </row>
    <row r="137" spans="2:4" s="37" customFormat="1" ht="12.95" customHeight="1" x14ac:dyDescent="0.2">
      <c r="B137" s="40"/>
      <c r="C137" s="61"/>
      <c r="D137" s="61"/>
    </row>
    <row r="138" spans="2:4" s="37" customFormat="1" ht="12.95" customHeight="1" x14ac:dyDescent="0.2">
      <c r="B138" s="40"/>
      <c r="C138" s="61"/>
      <c r="D138" s="61"/>
    </row>
    <row r="139" spans="2:4" s="37" customFormat="1" ht="12.95" customHeight="1" x14ac:dyDescent="0.2">
      <c r="B139" s="40"/>
      <c r="C139" s="61"/>
      <c r="D139" s="61"/>
    </row>
    <row r="140" spans="2:4" s="37" customFormat="1" ht="12.95" customHeight="1" x14ac:dyDescent="0.2">
      <c r="B140" s="40"/>
      <c r="C140" s="61"/>
      <c r="D140" s="61"/>
    </row>
    <row r="141" spans="2:4" s="37" customFormat="1" ht="12.95" customHeight="1" x14ac:dyDescent="0.2">
      <c r="B141" s="40"/>
      <c r="C141" s="61"/>
      <c r="D141" s="61"/>
    </row>
    <row r="142" spans="2:4" s="37" customFormat="1" ht="12.95" customHeight="1" x14ac:dyDescent="0.2">
      <c r="B142" s="40"/>
      <c r="C142" s="61"/>
      <c r="D142" s="61"/>
    </row>
    <row r="143" spans="2:4" s="37" customFormat="1" ht="12.95" customHeight="1" x14ac:dyDescent="0.2">
      <c r="B143" s="40"/>
      <c r="C143" s="61"/>
      <c r="D143" s="61"/>
    </row>
    <row r="144" spans="2:4" s="37" customFormat="1" ht="12.95" customHeight="1" x14ac:dyDescent="0.2">
      <c r="B144" s="40"/>
      <c r="C144" s="61"/>
      <c r="D144" s="61"/>
    </row>
    <row r="145" spans="2:4" s="37" customFormat="1" ht="12.95" customHeight="1" x14ac:dyDescent="0.2">
      <c r="B145" s="40"/>
      <c r="C145" s="61"/>
      <c r="D145" s="61"/>
    </row>
    <row r="146" spans="2:4" s="37" customFormat="1" ht="12.95" customHeight="1" x14ac:dyDescent="0.2">
      <c r="B146" s="40"/>
      <c r="C146" s="61"/>
      <c r="D146" s="61"/>
    </row>
    <row r="147" spans="2:4" s="37" customFormat="1" ht="12.95" customHeight="1" x14ac:dyDescent="0.2">
      <c r="B147" s="40"/>
      <c r="C147" s="61"/>
      <c r="D147" s="61"/>
    </row>
    <row r="148" spans="2:4" s="37" customFormat="1" ht="12.95" customHeight="1" x14ac:dyDescent="0.2">
      <c r="B148" s="40"/>
      <c r="C148" s="61"/>
      <c r="D148" s="61"/>
    </row>
    <row r="149" spans="2:4" s="37" customFormat="1" ht="12.95" customHeight="1" x14ac:dyDescent="0.2">
      <c r="B149" s="40"/>
      <c r="C149" s="61"/>
      <c r="D149" s="61"/>
    </row>
    <row r="150" spans="2:4" s="37" customFormat="1" ht="12.95" customHeight="1" x14ac:dyDescent="0.2">
      <c r="B150" s="40"/>
      <c r="C150" s="61"/>
      <c r="D150" s="61"/>
    </row>
    <row r="151" spans="2:4" s="37" customFormat="1" ht="12.95" customHeight="1" x14ac:dyDescent="0.2">
      <c r="B151" s="40"/>
      <c r="C151" s="61"/>
      <c r="D151" s="61"/>
    </row>
    <row r="152" spans="2:4" s="37" customFormat="1" ht="12.95" customHeight="1" x14ac:dyDescent="0.2">
      <c r="B152" s="40"/>
      <c r="C152" s="61"/>
      <c r="D152" s="61"/>
    </row>
    <row r="153" spans="2:4" s="37" customFormat="1" ht="12.95" customHeight="1" x14ac:dyDescent="0.2">
      <c r="B153" s="40"/>
      <c r="C153" s="61"/>
      <c r="D153" s="61"/>
    </row>
    <row r="154" spans="2:4" s="37" customFormat="1" ht="12.95" customHeight="1" x14ac:dyDescent="0.2">
      <c r="B154" s="40"/>
      <c r="C154" s="61"/>
      <c r="D154" s="61"/>
    </row>
    <row r="155" spans="2:4" s="37" customFormat="1" ht="12.95" customHeight="1" x14ac:dyDescent="0.2">
      <c r="B155" s="40"/>
      <c r="C155" s="61"/>
      <c r="D155" s="61"/>
    </row>
    <row r="156" spans="2:4" s="37" customFormat="1" ht="12.95" customHeight="1" x14ac:dyDescent="0.2">
      <c r="B156" s="40"/>
      <c r="C156" s="61"/>
      <c r="D156" s="61"/>
    </row>
    <row r="157" spans="2:4" s="37" customFormat="1" ht="12.95" customHeight="1" x14ac:dyDescent="0.2">
      <c r="B157" s="40"/>
      <c r="C157" s="61"/>
      <c r="D157" s="61"/>
    </row>
    <row r="158" spans="2:4" s="37" customFormat="1" ht="12.95" customHeight="1" x14ac:dyDescent="0.2">
      <c r="B158" s="40"/>
      <c r="C158" s="61"/>
      <c r="D158" s="61"/>
    </row>
    <row r="159" spans="2:4" s="37" customFormat="1" ht="12.95" customHeight="1" x14ac:dyDescent="0.2">
      <c r="B159" s="40"/>
      <c r="C159" s="61"/>
      <c r="D159" s="61"/>
    </row>
    <row r="160" spans="2:4" s="37" customFormat="1" ht="12.95" customHeight="1" x14ac:dyDescent="0.2">
      <c r="B160" s="40"/>
      <c r="C160" s="61"/>
      <c r="D160" s="61"/>
    </row>
    <row r="161" spans="2:4" s="37" customFormat="1" ht="12.95" customHeight="1" x14ac:dyDescent="0.2">
      <c r="B161" s="40"/>
      <c r="C161" s="61"/>
      <c r="D161" s="61"/>
    </row>
    <row r="162" spans="2:4" s="37" customFormat="1" ht="12.95" customHeight="1" x14ac:dyDescent="0.2">
      <c r="B162" s="40"/>
      <c r="C162" s="61"/>
      <c r="D162" s="61"/>
    </row>
    <row r="163" spans="2:4" s="37" customFormat="1" ht="12.95" customHeight="1" x14ac:dyDescent="0.2">
      <c r="B163" s="40"/>
      <c r="C163" s="61"/>
      <c r="D163" s="61"/>
    </row>
    <row r="164" spans="2:4" s="37" customFormat="1" ht="12.95" customHeight="1" x14ac:dyDescent="0.2">
      <c r="B164" s="40"/>
      <c r="C164" s="61"/>
      <c r="D164" s="61"/>
    </row>
    <row r="165" spans="2:4" s="37" customFormat="1" ht="12.95" customHeight="1" x14ac:dyDescent="0.2">
      <c r="B165" s="40"/>
      <c r="C165" s="61"/>
      <c r="D165" s="61"/>
    </row>
    <row r="166" spans="2:4" s="37" customFormat="1" ht="12.95" customHeight="1" x14ac:dyDescent="0.2">
      <c r="B166" s="40"/>
      <c r="C166" s="61"/>
      <c r="D166" s="61"/>
    </row>
    <row r="167" spans="2:4" s="37" customFormat="1" ht="12.95" customHeight="1" x14ac:dyDescent="0.2">
      <c r="B167" s="40"/>
      <c r="C167" s="61"/>
      <c r="D167" s="61"/>
    </row>
    <row r="168" spans="2:4" s="37" customFormat="1" ht="12.95" customHeight="1" x14ac:dyDescent="0.2">
      <c r="B168" s="40"/>
      <c r="C168" s="61"/>
      <c r="D168" s="61"/>
    </row>
    <row r="169" spans="2:4" s="37" customFormat="1" ht="12.95" customHeight="1" x14ac:dyDescent="0.2">
      <c r="B169" s="40"/>
      <c r="C169" s="61"/>
      <c r="D169" s="61"/>
    </row>
    <row r="170" spans="2:4" s="37" customFormat="1" ht="12.95" customHeight="1" x14ac:dyDescent="0.2">
      <c r="B170" s="40"/>
      <c r="C170" s="61"/>
      <c r="D170" s="61"/>
    </row>
    <row r="171" spans="2:4" s="37" customFormat="1" ht="12.95" customHeight="1" x14ac:dyDescent="0.2">
      <c r="B171" s="40"/>
      <c r="C171" s="61"/>
      <c r="D171" s="61"/>
    </row>
    <row r="172" spans="2:4" s="37" customFormat="1" ht="12.95" customHeight="1" x14ac:dyDescent="0.2">
      <c r="B172" s="40"/>
      <c r="C172" s="61"/>
      <c r="D172" s="61"/>
    </row>
    <row r="173" spans="2:4" s="37" customFormat="1" ht="12.95" customHeight="1" x14ac:dyDescent="0.2">
      <c r="B173" s="40"/>
      <c r="C173" s="61"/>
      <c r="D173" s="61"/>
    </row>
    <row r="174" spans="2:4" s="37" customFormat="1" ht="12.95" customHeight="1" x14ac:dyDescent="0.2">
      <c r="B174" s="40"/>
      <c r="C174" s="61"/>
      <c r="D174" s="61"/>
    </row>
    <row r="175" spans="2:4" s="37" customFormat="1" ht="12.95" customHeight="1" x14ac:dyDescent="0.2">
      <c r="B175" s="40"/>
      <c r="C175" s="61"/>
      <c r="D175" s="61"/>
    </row>
    <row r="176" spans="2:4" s="37" customFormat="1" ht="12.95" customHeight="1" x14ac:dyDescent="0.2">
      <c r="B176" s="40"/>
      <c r="C176" s="61"/>
      <c r="D176" s="61"/>
    </row>
    <row r="177" spans="2:4" s="37" customFormat="1" ht="12.95" customHeight="1" x14ac:dyDescent="0.2">
      <c r="B177" s="40"/>
      <c r="C177" s="61"/>
      <c r="D177" s="61"/>
    </row>
    <row r="178" spans="2:4" s="37" customFormat="1" ht="12.95" customHeight="1" x14ac:dyDescent="0.2">
      <c r="B178" s="40"/>
      <c r="C178" s="61"/>
      <c r="D178" s="61"/>
    </row>
    <row r="179" spans="2:4" s="37" customFormat="1" ht="12.95" customHeight="1" x14ac:dyDescent="0.2">
      <c r="B179" s="40"/>
      <c r="C179" s="61"/>
      <c r="D179" s="61"/>
    </row>
    <row r="180" spans="2:4" s="37" customFormat="1" ht="12.95" customHeight="1" x14ac:dyDescent="0.2">
      <c r="B180" s="40"/>
      <c r="C180" s="61"/>
      <c r="D180" s="61"/>
    </row>
    <row r="181" spans="2:4" s="37" customFormat="1" ht="12.95" customHeight="1" x14ac:dyDescent="0.2">
      <c r="B181" s="40"/>
      <c r="C181" s="61"/>
      <c r="D181" s="61"/>
    </row>
    <row r="182" spans="2:4" s="37" customFormat="1" ht="12.95" customHeight="1" x14ac:dyDescent="0.2">
      <c r="B182" s="40"/>
      <c r="C182" s="61"/>
      <c r="D182" s="61"/>
    </row>
    <row r="183" spans="2:4" s="37" customFormat="1" ht="12.95" customHeight="1" x14ac:dyDescent="0.2">
      <c r="B183" s="40"/>
      <c r="C183" s="61"/>
      <c r="D183" s="61"/>
    </row>
    <row r="184" spans="2:4" s="37" customFormat="1" ht="12.95" customHeight="1" x14ac:dyDescent="0.2">
      <c r="B184" s="40"/>
      <c r="C184" s="61"/>
      <c r="D184" s="61"/>
    </row>
    <row r="185" spans="2:4" s="37" customFormat="1" ht="12.95" customHeight="1" x14ac:dyDescent="0.2">
      <c r="B185" s="40"/>
      <c r="C185" s="61"/>
      <c r="D185" s="61"/>
    </row>
    <row r="186" spans="2:4" s="37" customFormat="1" ht="12.95" customHeight="1" x14ac:dyDescent="0.2">
      <c r="B186" s="40"/>
      <c r="C186" s="61"/>
      <c r="D186" s="61"/>
    </row>
    <row r="187" spans="2:4" s="37" customFormat="1" ht="12.95" customHeight="1" x14ac:dyDescent="0.2">
      <c r="B187" s="40"/>
      <c r="C187" s="61"/>
      <c r="D187" s="61"/>
    </row>
    <row r="188" spans="2:4" s="37" customFormat="1" ht="12.95" customHeight="1" x14ac:dyDescent="0.2">
      <c r="B188" s="40"/>
      <c r="C188" s="61"/>
      <c r="D188" s="61"/>
    </row>
    <row r="189" spans="2:4" s="37" customFormat="1" ht="12.95" customHeight="1" x14ac:dyDescent="0.2">
      <c r="B189" s="40"/>
      <c r="C189" s="61"/>
      <c r="D189" s="61"/>
    </row>
    <row r="190" spans="2:4" s="37" customFormat="1" ht="12.95" customHeight="1" x14ac:dyDescent="0.2">
      <c r="B190" s="40"/>
      <c r="C190" s="61"/>
      <c r="D190" s="61"/>
    </row>
    <row r="191" spans="2:4" s="37" customFormat="1" ht="12.95" customHeight="1" x14ac:dyDescent="0.2">
      <c r="B191" s="40"/>
      <c r="C191" s="61"/>
      <c r="D191" s="61"/>
    </row>
    <row r="192" spans="2:4" s="37" customFormat="1" ht="12.95" customHeight="1" x14ac:dyDescent="0.2">
      <c r="B192" s="40"/>
      <c r="C192" s="61"/>
      <c r="D192" s="61"/>
    </row>
    <row r="193" spans="2:4" s="37" customFormat="1" ht="12.95" customHeight="1" x14ac:dyDescent="0.2">
      <c r="B193" s="40"/>
      <c r="C193" s="61"/>
      <c r="D193" s="61"/>
    </row>
    <row r="194" spans="2:4" s="37" customFormat="1" ht="12.95" customHeight="1" x14ac:dyDescent="0.2">
      <c r="B194" s="40"/>
      <c r="C194" s="61"/>
      <c r="D194" s="61"/>
    </row>
    <row r="195" spans="2:4" s="37" customFormat="1" ht="12.95" customHeight="1" x14ac:dyDescent="0.2">
      <c r="B195" s="40"/>
      <c r="C195" s="61"/>
      <c r="D195" s="61"/>
    </row>
    <row r="196" spans="2:4" s="37" customFormat="1" ht="12.95" customHeight="1" x14ac:dyDescent="0.2">
      <c r="B196" s="40"/>
      <c r="C196" s="61"/>
      <c r="D196" s="61"/>
    </row>
    <row r="197" spans="2:4" s="37" customFormat="1" ht="12.95" customHeight="1" x14ac:dyDescent="0.2">
      <c r="B197" s="40"/>
      <c r="C197" s="61"/>
      <c r="D197" s="61"/>
    </row>
    <row r="198" spans="2:4" s="37" customFormat="1" ht="12.95" customHeight="1" x14ac:dyDescent="0.2">
      <c r="B198" s="40"/>
      <c r="C198" s="61"/>
      <c r="D198" s="61"/>
    </row>
    <row r="199" spans="2:4" s="37" customFormat="1" ht="12.95" customHeight="1" x14ac:dyDescent="0.2">
      <c r="B199" s="40"/>
      <c r="C199" s="61"/>
      <c r="D199" s="61"/>
    </row>
    <row r="200" spans="2:4" s="37" customFormat="1" ht="12.95" customHeight="1" x14ac:dyDescent="0.2">
      <c r="B200" s="40"/>
      <c r="C200" s="61"/>
      <c r="D200" s="61"/>
    </row>
    <row r="201" spans="2:4" s="37" customFormat="1" ht="12.95" customHeight="1" x14ac:dyDescent="0.2">
      <c r="B201" s="40"/>
      <c r="C201" s="61"/>
      <c r="D201" s="61"/>
    </row>
    <row r="202" spans="2:4" s="37" customFormat="1" ht="12.95" customHeight="1" x14ac:dyDescent="0.2">
      <c r="B202" s="40"/>
      <c r="C202" s="61"/>
      <c r="D202" s="61"/>
    </row>
  </sheetData>
  <protectedRanges>
    <protectedRange sqref="A107:D109" name="Range1"/>
  </protectedRanges>
  <sortState xmlns:xlrd2="http://schemas.microsoft.com/office/spreadsheetml/2017/richdata2" ref="A21:AG111">
    <sortCondition ref="C21:C111"/>
  </sortState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00"/>
  <sheetViews>
    <sheetView topLeftCell="A52" workbookViewId="0">
      <selection activeCell="A44" sqref="A44:C90"/>
    </sheetView>
  </sheetViews>
  <sheetFormatPr defaultRowHeight="12.75" x14ac:dyDescent="0.2"/>
  <cols>
    <col min="1" max="1" width="19.7109375" style="14" customWidth="1"/>
    <col min="2" max="2" width="4.42578125" style="13" customWidth="1"/>
    <col min="3" max="3" width="12.7109375" style="14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4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18" t="s">
        <v>74</v>
      </c>
      <c r="I1" s="19" t="s">
        <v>75</v>
      </c>
      <c r="J1" s="20" t="s">
        <v>76</v>
      </c>
    </row>
    <row r="2" spans="1:16" x14ac:dyDescent="0.2">
      <c r="I2" s="21" t="s">
        <v>77</v>
      </c>
      <c r="J2" s="22" t="s">
        <v>78</v>
      </c>
    </row>
    <row r="3" spans="1:16" x14ac:dyDescent="0.2">
      <c r="A3" s="23" t="s">
        <v>79</v>
      </c>
      <c r="I3" s="21" t="s">
        <v>80</v>
      </c>
      <c r="J3" s="22" t="s">
        <v>81</v>
      </c>
    </row>
    <row r="4" spans="1:16" x14ac:dyDescent="0.2">
      <c r="I4" s="21" t="s">
        <v>82</v>
      </c>
      <c r="J4" s="22" t="s">
        <v>81</v>
      </c>
    </row>
    <row r="5" spans="1:16" ht="13.5" thickBot="1" x14ac:dyDescent="0.25">
      <c r="I5" s="24" t="s">
        <v>83</v>
      </c>
      <c r="J5" s="25" t="s">
        <v>84</v>
      </c>
    </row>
    <row r="10" spans="1:16" ht="13.5" thickBot="1" x14ac:dyDescent="0.25"/>
    <row r="11" spans="1:16" ht="12.75" customHeight="1" thickBot="1" x14ac:dyDescent="0.25">
      <c r="A11" s="14" t="str">
        <f t="shared" ref="A11:A42" si="0">P11</f>
        <v> BBS 92 </v>
      </c>
      <c r="B11" s="6" t="str">
        <f t="shared" ref="B11:B42" si="1">IF(H11=INT(H11),"I","II")</f>
        <v>I</v>
      </c>
      <c r="C11" s="14">
        <f t="shared" ref="C11:C42" si="2">1*G11</f>
        <v>47649.375</v>
      </c>
      <c r="D11" s="13" t="str">
        <f t="shared" ref="D11:D42" si="3">VLOOKUP(F11,I$1:J$5,2,FALSE)</f>
        <v>vis</v>
      </c>
      <c r="E11" s="26">
        <f>VLOOKUP(C11,Active!C$21:E$971,3,FALSE)</f>
        <v>11729.671948035317</v>
      </c>
      <c r="F11" s="6" t="s">
        <v>83</v>
      </c>
      <c r="G11" s="13" t="str">
        <f t="shared" ref="G11:G42" si="4">MID(I11,3,LEN(I11)-3)</f>
        <v>47649.375</v>
      </c>
      <c r="H11" s="14">
        <f t="shared" ref="H11:H42" si="5">1*K11</f>
        <v>11733</v>
      </c>
      <c r="I11" s="27" t="s">
        <v>194</v>
      </c>
      <c r="J11" s="28" t="s">
        <v>195</v>
      </c>
      <c r="K11" s="27">
        <v>11733</v>
      </c>
      <c r="L11" s="27" t="s">
        <v>152</v>
      </c>
      <c r="M11" s="28" t="s">
        <v>144</v>
      </c>
      <c r="N11" s="28"/>
      <c r="O11" s="29" t="s">
        <v>187</v>
      </c>
      <c r="P11" s="29" t="s">
        <v>196</v>
      </c>
    </row>
    <row r="12" spans="1:16" ht="12.75" customHeight="1" thickBot="1" x14ac:dyDescent="0.25">
      <c r="A12" s="14" t="str">
        <f t="shared" si="0"/>
        <v> BRNO 31 </v>
      </c>
      <c r="B12" s="6" t="str">
        <f t="shared" si="1"/>
        <v>II</v>
      </c>
      <c r="C12" s="14">
        <f t="shared" si="2"/>
        <v>47946.500999999997</v>
      </c>
      <c r="D12" s="13" t="str">
        <f t="shared" si="3"/>
        <v>vis</v>
      </c>
      <c r="E12" s="26">
        <f>VLOOKUP(C12,Active!C$21:E$971,3,FALSE)</f>
        <v>11941.063767724123</v>
      </c>
      <c r="F12" s="6" t="s">
        <v>83</v>
      </c>
      <c r="G12" s="13" t="str">
        <f t="shared" si="4"/>
        <v>47946.501</v>
      </c>
      <c r="H12" s="14">
        <f t="shared" si="5"/>
        <v>11944.5</v>
      </c>
      <c r="I12" s="27" t="s">
        <v>197</v>
      </c>
      <c r="J12" s="28" t="s">
        <v>198</v>
      </c>
      <c r="K12" s="27">
        <v>11944.5</v>
      </c>
      <c r="L12" s="27" t="s">
        <v>199</v>
      </c>
      <c r="M12" s="28" t="s">
        <v>144</v>
      </c>
      <c r="N12" s="28"/>
      <c r="O12" s="29" t="s">
        <v>200</v>
      </c>
      <c r="P12" s="29" t="s">
        <v>201</v>
      </c>
    </row>
    <row r="13" spans="1:16" ht="12.75" customHeight="1" thickBot="1" x14ac:dyDescent="0.25">
      <c r="A13" s="14" t="str">
        <f t="shared" si="0"/>
        <v> BRNO 31 </v>
      </c>
      <c r="B13" s="6" t="str">
        <f t="shared" si="1"/>
        <v>I</v>
      </c>
      <c r="C13" s="14">
        <f t="shared" si="2"/>
        <v>48274.599000000002</v>
      </c>
      <c r="D13" s="13" t="str">
        <f t="shared" si="3"/>
        <v>vis</v>
      </c>
      <c r="E13" s="26">
        <f>VLOOKUP(C13,Active!C$21:E$971,3,FALSE)</f>
        <v>12174.490775984123</v>
      </c>
      <c r="F13" s="6" t="s">
        <v>83</v>
      </c>
      <c r="G13" s="13" t="str">
        <f t="shared" si="4"/>
        <v>48274.599</v>
      </c>
      <c r="H13" s="14">
        <f t="shared" si="5"/>
        <v>12178</v>
      </c>
      <c r="I13" s="27" t="s">
        <v>209</v>
      </c>
      <c r="J13" s="28" t="s">
        <v>210</v>
      </c>
      <c r="K13" s="27">
        <v>12178</v>
      </c>
      <c r="L13" s="27" t="s">
        <v>211</v>
      </c>
      <c r="M13" s="28" t="s">
        <v>144</v>
      </c>
      <c r="N13" s="28"/>
      <c r="O13" s="29" t="s">
        <v>205</v>
      </c>
      <c r="P13" s="29" t="s">
        <v>201</v>
      </c>
    </row>
    <row r="14" spans="1:16" ht="12.75" customHeight="1" thickBot="1" x14ac:dyDescent="0.25">
      <c r="A14" s="14" t="str">
        <f t="shared" si="0"/>
        <v> BBS 97 </v>
      </c>
      <c r="B14" s="6" t="str">
        <f t="shared" si="1"/>
        <v>II</v>
      </c>
      <c r="C14" s="14">
        <f t="shared" si="2"/>
        <v>48362.411</v>
      </c>
      <c r="D14" s="13" t="str">
        <f t="shared" si="3"/>
        <v>vis</v>
      </c>
      <c r="E14" s="26">
        <f>VLOOKUP(C14,Active!C$21:E$971,3,FALSE)</f>
        <v>12236.965074667218</v>
      </c>
      <c r="F14" s="6" t="s">
        <v>83</v>
      </c>
      <c r="G14" s="13" t="str">
        <f t="shared" si="4"/>
        <v>48362.411</v>
      </c>
      <c r="H14" s="14">
        <f t="shared" si="5"/>
        <v>12240.5</v>
      </c>
      <c r="I14" s="27" t="s">
        <v>212</v>
      </c>
      <c r="J14" s="28" t="s">
        <v>213</v>
      </c>
      <c r="K14" s="27">
        <v>12240.5</v>
      </c>
      <c r="L14" s="27" t="s">
        <v>214</v>
      </c>
      <c r="M14" s="28" t="s">
        <v>144</v>
      </c>
      <c r="N14" s="28"/>
      <c r="O14" s="29" t="s">
        <v>215</v>
      </c>
      <c r="P14" s="29" t="s">
        <v>216</v>
      </c>
    </row>
    <row r="15" spans="1:16" ht="12.75" customHeight="1" thickBot="1" x14ac:dyDescent="0.25">
      <c r="A15" s="14" t="str">
        <f t="shared" si="0"/>
        <v> BRNO 31 </v>
      </c>
      <c r="B15" s="6" t="str">
        <f t="shared" si="1"/>
        <v>II</v>
      </c>
      <c r="C15" s="14">
        <f t="shared" si="2"/>
        <v>48677.347000000002</v>
      </c>
      <c r="D15" s="13" t="str">
        <f t="shared" si="3"/>
        <v>vis</v>
      </c>
      <c r="E15" s="26">
        <f>VLOOKUP(C15,Active!C$21:E$971,3,FALSE)</f>
        <v>12461.027910385112</v>
      </c>
      <c r="F15" s="6" t="s">
        <v>83</v>
      </c>
      <c r="G15" s="13" t="str">
        <f t="shared" si="4"/>
        <v>48677.347</v>
      </c>
      <c r="H15" s="14">
        <f t="shared" si="5"/>
        <v>12464.5</v>
      </c>
      <c r="I15" s="27" t="s">
        <v>217</v>
      </c>
      <c r="J15" s="28" t="s">
        <v>218</v>
      </c>
      <c r="K15" s="27">
        <v>12464.5</v>
      </c>
      <c r="L15" s="27" t="s">
        <v>219</v>
      </c>
      <c r="M15" s="28" t="s">
        <v>144</v>
      </c>
      <c r="N15" s="28"/>
      <c r="O15" s="29" t="s">
        <v>220</v>
      </c>
      <c r="P15" s="29" t="s">
        <v>201</v>
      </c>
    </row>
    <row r="16" spans="1:16" ht="12.75" customHeight="1" thickBot="1" x14ac:dyDescent="0.25">
      <c r="A16" s="14" t="str">
        <f t="shared" si="0"/>
        <v> BRNO 31 </v>
      </c>
      <c r="B16" s="6" t="str">
        <f t="shared" si="1"/>
        <v>I</v>
      </c>
      <c r="C16" s="14">
        <f t="shared" si="2"/>
        <v>49002.633000000002</v>
      </c>
      <c r="D16" s="13" t="str">
        <f t="shared" si="3"/>
        <v>vis</v>
      </c>
      <c r="E16" s="26">
        <f>VLOOKUP(C16,Active!C$21:E$971,3,FALSE)</f>
        <v>12692.454306793687</v>
      </c>
      <c r="F16" s="6" t="s">
        <v>83</v>
      </c>
      <c r="G16" s="13" t="str">
        <f t="shared" si="4"/>
        <v>49002.633</v>
      </c>
      <c r="H16" s="14">
        <f t="shared" si="5"/>
        <v>12696</v>
      </c>
      <c r="I16" s="27" t="s">
        <v>221</v>
      </c>
      <c r="J16" s="28" t="s">
        <v>222</v>
      </c>
      <c r="K16" s="27">
        <v>12696</v>
      </c>
      <c r="L16" s="27" t="s">
        <v>223</v>
      </c>
      <c r="M16" s="28" t="s">
        <v>144</v>
      </c>
      <c r="N16" s="28"/>
      <c r="O16" s="29" t="s">
        <v>205</v>
      </c>
      <c r="P16" s="29" t="s">
        <v>201</v>
      </c>
    </row>
    <row r="17" spans="1:16" ht="12.75" customHeight="1" thickBot="1" x14ac:dyDescent="0.25">
      <c r="A17" s="14" t="str">
        <f t="shared" si="0"/>
        <v> BBS 115 </v>
      </c>
      <c r="B17" s="6" t="str">
        <f t="shared" si="1"/>
        <v>I</v>
      </c>
      <c r="C17" s="14">
        <f t="shared" si="2"/>
        <v>50516.436999999998</v>
      </c>
      <c r="D17" s="13" t="str">
        <f t="shared" si="3"/>
        <v>vis</v>
      </c>
      <c r="E17" s="26">
        <f>VLOOKUP(C17,Active!C$21:E$971,3,FALSE)</f>
        <v>13769.457942329445</v>
      </c>
      <c r="F17" s="6" t="s">
        <v>83</v>
      </c>
      <c r="G17" s="13" t="str">
        <f t="shared" si="4"/>
        <v>50516.437</v>
      </c>
      <c r="H17" s="14">
        <f t="shared" si="5"/>
        <v>13773</v>
      </c>
      <c r="I17" s="27" t="s">
        <v>236</v>
      </c>
      <c r="J17" s="28" t="s">
        <v>237</v>
      </c>
      <c r="K17" s="27">
        <v>13773</v>
      </c>
      <c r="L17" s="27" t="s">
        <v>238</v>
      </c>
      <c r="M17" s="28" t="s">
        <v>239</v>
      </c>
      <c r="N17" s="28" t="s">
        <v>240</v>
      </c>
      <c r="O17" s="29" t="s">
        <v>187</v>
      </c>
      <c r="P17" s="29" t="s">
        <v>241</v>
      </c>
    </row>
    <row r="18" spans="1:16" ht="12.75" customHeight="1" thickBot="1" x14ac:dyDescent="0.25">
      <c r="A18" s="14" t="str">
        <f t="shared" si="0"/>
        <v>OEJV 0074 </v>
      </c>
      <c r="B18" s="6" t="str">
        <f t="shared" si="1"/>
        <v>II</v>
      </c>
      <c r="C18" s="14">
        <f t="shared" si="2"/>
        <v>51658.469700000001</v>
      </c>
      <c r="D18" s="13" t="str">
        <f t="shared" si="3"/>
        <v>vis</v>
      </c>
      <c r="E18" s="26">
        <f>VLOOKUP(C18,Active!C$21:E$971,3,FALSE)</f>
        <v>14581.962975874558</v>
      </c>
      <c r="F18" s="6" t="s">
        <v>83</v>
      </c>
      <c r="G18" s="13" t="str">
        <f t="shared" si="4"/>
        <v>51658.46970</v>
      </c>
      <c r="H18" s="14">
        <f t="shared" si="5"/>
        <v>14585.5</v>
      </c>
      <c r="I18" s="27" t="s">
        <v>242</v>
      </c>
      <c r="J18" s="28" t="s">
        <v>243</v>
      </c>
      <c r="K18" s="27">
        <v>14585.5</v>
      </c>
      <c r="L18" s="27" t="s">
        <v>244</v>
      </c>
      <c r="M18" s="28" t="s">
        <v>245</v>
      </c>
      <c r="N18" s="28" t="s">
        <v>83</v>
      </c>
      <c r="O18" s="29" t="s">
        <v>246</v>
      </c>
      <c r="P18" s="30" t="s">
        <v>247</v>
      </c>
    </row>
    <row r="19" spans="1:16" ht="12.75" customHeight="1" thickBot="1" x14ac:dyDescent="0.25">
      <c r="A19" s="14" t="str">
        <f t="shared" si="0"/>
        <v>BAVM 158 </v>
      </c>
      <c r="B19" s="6" t="str">
        <f t="shared" si="1"/>
        <v>I</v>
      </c>
      <c r="C19" s="14">
        <f t="shared" si="2"/>
        <v>52703.332900000001</v>
      </c>
      <c r="D19" s="13" t="str">
        <f t="shared" si="3"/>
        <v>vis</v>
      </c>
      <c r="E19" s="26">
        <f>VLOOKUP(C19,Active!C$21:E$971,3,FALSE)</f>
        <v>15325.336269271542</v>
      </c>
      <c r="F19" s="6" t="s">
        <v>83</v>
      </c>
      <c r="G19" s="13" t="str">
        <f t="shared" si="4"/>
        <v>52703.3329</v>
      </c>
      <c r="H19" s="14">
        <f t="shared" si="5"/>
        <v>15329</v>
      </c>
      <c r="I19" s="27" t="s">
        <v>248</v>
      </c>
      <c r="J19" s="28" t="s">
        <v>249</v>
      </c>
      <c r="K19" s="27">
        <v>15329</v>
      </c>
      <c r="L19" s="27" t="s">
        <v>250</v>
      </c>
      <c r="M19" s="28" t="s">
        <v>239</v>
      </c>
      <c r="N19" s="28" t="s">
        <v>251</v>
      </c>
      <c r="O19" s="29" t="s">
        <v>252</v>
      </c>
      <c r="P19" s="30" t="s">
        <v>253</v>
      </c>
    </row>
    <row r="20" spans="1:16" ht="12.75" customHeight="1" thickBot="1" x14ac:dyDescent="0.25">
      <c r="A20" s="14" t="str">
        <f t="shared" si="0"/>
        <v>IBVS 5676 </v>
      </c>
      <c r="B20" s="6" t="str">
        <f t="shared" si="1"/>
        <v>I</v>
      </c>
      <c r="C20" s="14">
        <f t="shared" si="2"/>
        <v>52772.3338</v>
      </c>
      <c r="D20" s="13" t="str">
        <f t="shared" si="3"/>
        <v>vis</v>
      </c>
      <c r="E20" s="26">
        <f>VLOOKUP(C20,Active!C$21:E$971,3,FALSE)</f>
        <v>15374.427314185705</v>
      </c>
      <c r="F20" s="6" t="s">
        <v>83</v>
      </c>
      <c r="G20" s="13" t="str">
        <f t="shared" si="4"/>
        <v>52772.3338</v>
      </c>
      <c r="H20" s="14">
        <f t="shared" si="5"/>
        <v>15378</v>
      </c>
      <c r="I20" s="27" t="s">
        <v>254</v>
      </c>
      <c r="J20" s="28" t="s">
        <v>255</v>
      </c>
      <c r="K20" s="27" t="s">
        <v>256</v>
      </c>
      <c r="L20" s="27" t="s">
        <v>257</v>
      </c>
      <c r="M20" s="28" t="s">
        <v>239</v>
      </c>
      <c r="N20" s="28" t="s">
        <v>240</v>
      </c>
      <c r="O20" s="29" t="s">
        <v>258</v>
      </c>
      <c r="P20" s="30" t="s">
        <v>259</v>
      </c>
    </row>
    <row r="21" spans="1:16" ht="12.75" customHeight="1" thickBot="1" x14ac:dyDescent="0.25">
      <c r="A21" s="14" t="str">
        <f t="shared" si="0"/>
        <v>BAVM 172 </v>
      </c>
      <c r="B21" s="6" t="str">
        <f t="shared" si="1"/>
        <v>II</v>
      </c>
      <c r="C21" s="14">
        <f t="shared" si="2"/>
        <v>53093.3989</v>
      </c>
      <c r="D21" s="13" t="str">
        <f t="shared" si="3"/>
        <v>vis</v>
      </c>
      <c r="E21" s="26">
        <f>VLOOKUP(C21,Active!C$21:E$971,3,FALSE)</f>
        <v>15602.850729597245</v>
      </c>
      <c r="F21" s="6" t="s">
        <v>83</v>
      </c>
      <c r="G21" s="13" t="str">
        <f t="shared" si="4"/>
        <v>53093.3989</v>
      </c>
      <c r="H21" s="14">
        <f t="shared" si="5"/>
        <v>15606.5</v>
      </c>
      <c r="I21" s="27" t="s">
        <v>260</v>
      </c>
      <c r="J21" s="28" t="s">
        <v>261</v>
      </c>
      <c r="K21" s="27" t="s">
        <v>262</v>
      </c>
      <c r="L21" s="27" t="s">
        <v>263</v>
      </c>
      <c r="M21" s="28" t="s">
        <v>239</v>
      </c>
      <c r="N21" s="28" t="s">
        <v>264</v>
      </c>
      <c r="O21" s="29" t="s">
        <v>252</v>
      </c>
      <c r="P21" s="30" t="s">
        <v>265</v>
      </c>
    </row>
    <row r="22" spans="1:16" ht="12.75" customHeight="1" thickBot="1" x14ac:dyDescent="0.25">
      <c r="A22" s="14" t="str">
        <f t="shared" si="0"/>
        <v>OEJV 0003 </v>
      </c>
      <c r="B22" s="6" t="str">
        <f t="shared" si="1"/>
        <v>I</v>
      </c>
      <c r="C22" s="14">
        <f t="shared" si="2"/>
        <v>53400.375</v>
      </c>
      <c r="D22" s="13" t="str">
        <f t="shared" si="3"/>
        <v>vis</v>
      </c>
      <c r="E22" s="26">
        <f>VLOOKUP(C22,Active!C$21:E$971,3,FALSE)</f>
        <v>15821.250453552651</v>
      </c>
      <c r="F22" s="6" t="s">
        <v>83</v>
      </c>
      <c r="G22" s="13" t="str">
        <f t="shared" si="4"/>
        <v>53400.375</v>
      </c>
      <c r="H22" s="14">
        <f t="shared" si="5"/>
        <v>15825</v>
      </c>
      <c r="I22" s="27" t="s">
        <v>266</v>
      </c>
      <c r="J22" s="28" t="s">
        <v>267</v>
      </c>
      <c r="K22" s="27" t="s">
        <v>268</v>
      </c>
      <c r="L22" s="27" t="s">
        <v>269</v>
      </c>
      <c r="M22" s="28" t="s">
        <v>144</v>
      </c>
      <c r="N22" s="28"/>
      <c r="O22" s="29" t="s">
        <v>270</v>
      </c>
      <c r="P22" s="30" t="s">
        <v>271</v>
      </c>
    </row>
    <row r="23" spans="1:16" ht="12.75" customHeight="1" thickBot="1" x14ac:dyDescent="0.25">
      <c r="A23" s="14" t="str">
        <f t="shared" si="0"/>
        <v>BAVM 173 </v>
      </c>
      <c r="B23" s="6" t="str">
        <f t="shared" si="1"/>
        <v>II</v>
      </c>
      <c r="C23" s="14">
        <f t="shared" si="2"/>
        <v>53443.336000000003</v>
      </c>
      <c r="D23" s="13" t="str">
        <f t="shared" si="3"/>
        <v>vis</v>
      </c>
      <c r="E23" s="26">
        <f>VLOOKUP(C23,Active!C$21:E$971,3,FALSE)</f>
        <v>15851.815277787662</v>
      </c>
      <c r="F23" s="6" t="s">
        <v>83</v>
      </c>
      <c r="G23" s="13" t="str">
        <f t="shared" si="4"/>
        <v>53443.3360</v>
      </c>
      <c r="H23" s="14">
        <f t="shared" si="5"/>
        <v>15855.5</v>
      </c>
      <c r="I23" s="27" t="s">
        <v>272</v>
      </c>
      <c r="J23" s="28" t="s">
        <v>273</v>
      </c>
      <c r="K23" s="27" t="s">
        <v>274</v>
      </c>
      <c r="L23" s="27" t="s">
        <v>275</v>
      </c>
      <c r="M23" s="28" t="s">
        <v>239</v>
      </c>
      <c r="N23" s="28" t="s">
        <v>251</v>
      </c>
      <c r="O23" s="29" t="s">
        <v>252</v>
      </c>
      <c r="P23" s="30" t="s">
        <v>276</v>
      </c>
    </row>
    <row r="24" spans="1:16" ht="12.75" customHeight="1" thickBot="1" x14ac:dyDescent="0.25">
      <c r="A24" s="14" t="str">
        <f t="shared" si="0"/>
        <v>BAVM 173 </v>
      </c>
      <c r="B24" s="6" t="str">
        <f t="shared" si="1"/>
        <v>I</v>
      </c>
      <c r="C24" s="14">
        <f t="shared" si="2"/>
        <v>53445.444000000003</v>
      </c>
      <c r="D24" s="13" t="str">
        <f t="shared" si="3"/>
        <v>vis</v>
      </c>
      <c r="E24" s="26">
        <f>VLOOKUP(C24,Active!C$21:E$971,3,FALSE)</f>
        <v>15853.315025221087</v>
      </c>
      <c r="F24" s="6" t="s">
        <v>83</v>
      </c>
      <c r="G24" s="13" t="str">
        <f t="shared" si="4"/>
        <v>53445.4440</v>
      </c>
      <c r="H24" s="14">
        <f t="shared" si="5"/>
        <v>15857</v>
      </c>
      <c r="I24" s="27" t="s">
        <v>277</v>
      </c>
      <c r="J24" s="28" t="s">
        <v>278</v>
      </c>
      <c r="K24" s="27" t="s">
        <v>279</v>
      </c>
      <c r="L24" s="27" t="s">
        <v>280</v>
      </c>
      <c r="M24" s="28" t="s">
        <v>239</v>
      </c>
      <c r="N24" s="28" t="s">
        <v>251</v>
      </c>
      <c r="O24" s="29" t="s">
        <v>252</v>
      </c>
      <c r="P24" s="30" t="s">
        <v>276</v>
      </c>
    </row>
    <row r="25" spans="1:16" ht="12.75" customHeight="1" thickBot="1" x14ac:dyDescent="0.25">
      <c r="A25" s="14" t="str">
        <f t="shared" si="0"/>
        <v>IBVS 5741 </v>
      </c>
      <c r="B25" s="6" t="str">
        <f t="shared" si="1"/>
        <v>I</v>
      </c>
      <c r="C25" s="14">
        <f t="shared" si="2"/>
        <v>53445.445800000001</v>
      </c>
      <c r="D25" s="13" t="str">
        <f t="shared" si="3"/>
        <v>vis</v>
      </c>
      <c r="E25" s="26">
        <f>VLOOKUP(C25,Active!C$21:E$971,3,FALSE)</f>
        <v>15853.316305840337</v>
      </c>
      <c r="F25" s="6" t="s">
        <v>83</v>
      </c>
      <c r="G25" s="13" t="str">
        <f t="shared" si="4"/>
        <v>53445.4458</v>
      </c>
      <c r="H25" s="14">
        <f t="shared" si="5"/>
        <v>15857</v>
      </c>
      <c r="I25" s="27" t="s">
        <v>281</v>
      </c>
      <c r="J25" s="28" t="s">
        <v>282</v>
      </c>
      <c r="K25" s="27" t="s">
        <v>279</v>
      </c>
      <c r="L25" s="27" t="s">
        <v>283</v>
      </c>
      <c r="M25" s="28" t="s">
        <v>239</v>
      </c>
      <c r="N25" s="28" t="s">
        <v>240</v>
      </c>
      <c r="O25" s="29" t="s">
        <v>284</v>
      </c>
      <c r="P25" s="30" t="s">
        <v>285</v>
      </c>
    </row>
    <row r="26" spans="1:16" ht="12.75" customHeight="1" thickBot="1" x14ac:dyDescent="0.25">
      <c r="A26" s="14" t="str">
        <f t="shared" si="0"/>
        <v>BAVM 178 </v>
      </c>
      <c r="B26" s="6" t="str">
        <f t="shared" si="1"/>
        <v>I</v>
      </c>
      <c r="C26" s="14">
        <f t="shared" si="2"/>
        <v>53706.660300000003</v>
      </c>
      <c r="D26" s="13" t="str">
        <f t="shared" si="3"/>
        <v>vis</v>
      </c>
      <c r="E26" s="26">
        <f>VLOOKUP(C26,Active!C$21:E$971,3,FALSE)</f>
        <v>16039.158704297903</v>
      </c>
      <c r="F26" s="6" t="s">
        <v>83</v>
      </c>
      <c r="G26" s="13" t="str">
        <f t="shared" si="4"/>
        <v>53706.6603</v>
      </c>
      <c r="H26" s="14">
        <f t="shared" si="5"/>
        <v>16043</v>
      </c>
      <c r="I26" s="27" t="s">
        <v>286</v>
      </c>
      <c r="J26" s="28" t="s">
        <v>287</v>
      </c>
      <c r="K26" s="27" t="s">
        <v>288</v>
      </c>
      <c r="L26" s="27" t="s">
        <v>289</v>
      </c>
      <c r="M26" s="28" t="s">
        <v>245</v>
      </c>
      <c r="N26" s="28" t="s">
        <v>264</v>
      </c>
      <c r="O26" s="29" t="s">
        <v>290</v>
      </c>
      <c r="P26" s="30" t="s">
        <v>291</v>
      </c>
    </row>
    <row r="27" spans="1:16" ht="12.75" customHeight="1" thickBot="1" x14ac:dyDescent="0.25">
      <c r="A27" s="14" t="str">
        <f t="shared" si="0"/>
        <v>BAVM 178 </v>
      </c>
      <c r="B27" s="6" t="str">
        <f t="shared" si="1"/>
        <v>II</v>
      </c>
      <c r="C27" s="14">
        <f t="shared" si="2"/>
        <v>53814.387600000002</v>
      </c>
      <c r="D27" s="13" t="str">
        <f t="shared" si="3"/>
        <v>vis</v>
      </c>
      <c r="E27" s="26">
        <f>VLOOKUP(C27,Active!C$21:E$971,3,FALSE)</f>
        <v>16115.801845514632</v>
      </c>
      <c r="F27" s="6" t="s">
        <v>83</v>
      </c>
      <c r="G27" s="13" t="str">
        <f t="shared" si="4"/>
        <v>53814.3876</v>
      </c>
      <c r="H27" s="14">
        <f t="shared" si="5"/>
        <v>16119.5</v>
      </c>
      <c r="I27" s="27" t="s">
        <v>292</v>
      </c>
      <c r="J27" s="28" t="s">
        <v>293</v>
      </c>
      <c r="K27" s="27" t="s">
        <v>294</v>
      </c>
      <c r="L27" s="27" t="s">
        <v>295</v>
      </c>
      <c r="M27" s="28" t="s">
        <v>245</v>
      </c>
      <c r="N27" s="28" t="s">
        <v>251</v>
      </c>
      <c r="O27" s="29" t="s">
        <v>296</v>
      </c>
      <c r="P27" s="30" t="s">
        <v>291</v>
      </c>
    </row>
    <row r="28" spans="1:16" ht="12.75" customHeight="1" thickBot="1" x14ac:dyDescent="0.25">
      <c r="A28" s="14" t="str">
        <f t="shared" si="0"/>
        <v>OEJV 0074 </v>
      </c>
      <c r="B28" s="6" t="str">
        <f t="shared" si="1"/>
        <v>II</v>
      </c>
      <c r="C28" s="14">
        <f t="shared" si="2"/>
        <v>53814.387609999998</v>
      </c>
      <c r="D28" s="13" t="str">
        <f t="shared" si="3"/>
        <v>vis</v>
      </c>
      <c r="E28" s="26">
        <f>VLOOKUP(C28,Active!C$21:E$971,3,FALSE)</f>
        <v>16115.801852629182</v>
      </c>
      <c r="F28" s="6" t="s">
        <v>83</v>
      </c>
      <c r="G28" s="13" t="str">
        <f t="shared" si="4"/>
        <v>53814.38761</v>
      </c>
      <c r="H28" s="14">
        <f t="shared" si="5"/>
        <v>16119.5</v>
      </c>
      <c r="I28" s="27" t="s">
        <v>297</v>
      </c>
      <c r="J28" s="28" t="s">
        <v>293</v>
      </c>
      <c r="K28" s="27" t="s">
        <v>294</v>
      </c>
      <c r="L28" s="27" t="s">
        <v>298</v>
      </c>
      <c r="M28" s="28" t="s">
        <v>245</v>
      </c>
      <c r="N28" s="28" t="s">
        <v>299</v>
      </c>
      <c r="O28" s="29" t="s">
        <v>300</v>
      </c>
      <c r="P28" s="30" t="s">
        <v>247</v>
      </c>
    </row>
    <row r="29" spans="1:16" ht="12.75" customHeight="1" thickBot="1" x14ac:dyDescent="0.25">
      <c r="A29" s="14" t="str">
        <f t="shared" si="0"/>
        <v>IBVS 5910 </v>
      </c>
      <c r="B29" s="6" t="str">
        <f t="shared" si="1"/>
        <v>I</v>
      </c>
      <c r="C29" s="14">
        <f t="shared" si="2"/>
        <v>54483.977899999998</v>
      </c>
      <c r="D29" s="13" t="str">
        <f t="shared" si="3"/>
        <v>vis</v>
      </c>
      <c r="E29" s="26">
        <f>VLOOKUP(C29,Active!C$21:E$971,3,FALSE)</f>
        <v>16592.185305605555</v>
      </c>
      <c r="F29" s="6" t="s">
        <v>83</v>
      </c>
      <c r="G29" s="13" t="str">
        <f t="shared" si="4"/>
        <v>54483.9779</v>
      </c>
      <c r="H29" s="14">
        <f t="shared" si="5"/>
        <v>16596</v>
      </c>
      <c r="I29" s="27" t="s">
        <v>317</v>
      </c>
      <c r="J29" s="28" t="s">
        <v>318</v>
      </c>
      <c r="K29" s="27" t="s">
        <v>319</v>
      </c>
      <c r="L29" s="27" t="s">
        <v>320</v>
      </c>
      <c r="M29" s="28" t="s">
        <v>245</v>
      </c>
      <c r="N29" s="28" t="s">
        <v>83</v>
      </c>
      <c r="O29" s="29" t="s">
        <v>321</v>
      </c>
      <c r="P29" s="30" t="s">
        <v>322</v>
      </c>
    </row>
    <row r="30" spans="1:16" ht="12.75" customHeight="1" thickBot="1" x14ac:dyDescent="0.25">
      <c r="A30" s="14" t="str">
        <f t="shared" si="0"/>
        <v>IBVS 5910 </v>
      </c>
      <c r="B30" s="6" t="str">
        <f t="shared" si="1"/>
        <v>II</v>
      </c>
      <c r="C30" s="14">
        <f t="shared" si="2"/>
        <v>54495.946400000001</v>
      </c>
      <c r="D30" s="13" t="str">
        <f t="shared" si="3"/>
        <v>vis</v>
      </c>
      <c r="E30" s="26">
        <f>VLOOKUP(C30,Active!C$21:E$971,3,FALSE)</f>
        <v>16600.700356439025</v>
      </c>
      <c r="F30" s="6" t="s">
        <v>83</v>
      </c>
      <c r="G30" s="13" t="str">
        <f t="shared" si="4"/>
        <v>54495.9464</v>
      </c>
      <c r="H30" s="14">
        <f t="shared" si="5"/>
        <v>16604.5</v>
      </c>
      <c r="I30" s="27" t="s">
        <v>323</v>
      </c>
      <c r="J30" s="28" t="s">
        <v>324</v>
      </c>
      <c r="K30" s="27" t="s">
        <v>325</v>
      </c>
      <c r="L30" s="27" t="s">
        <v>326</v>
      </c>
      <c r="M30" s="28" t="s">
        <v>245</v>
      </c>
      <c r="N30" s="28" t="s">
        <v>83</v>
      </c>
      <c r="O30" s="29" t="s">
        <v>321</v>
      </c>
      <c r="P30" s="30" t="s">
        <v>322</v>
      </c>
    </row>
    <row r="31" spans="1:16" ht="12.75" customHeight="1" thickBot="1" x14ac:dyDescent="0.25">
      <c r="A31" s="14" t="str">
        <f t="shared" si="0"/>
        <v>IBVS 5910 </v>
      </c>
      <c r="B31" s="6" t="str">
        <f t="shared" si="1"/>
        <v>II</v>
      </c>
      <c r="C31" s="14">
        <f t="shared" si="2"/>
        <v>54502.987699999998</v>
      </c>
      <c r="D31" s="13" t="str">
        <f t="shared" si="3"/>
        <v>vis</v>
      </c>
      <c r="E31" s="26">
        <f>VLOOKUP(C31,Active!C$21:E$971,3,FALSE)</f>
        <v>16605.709925510644</v>
      </c>
      <c r="F31" s="6" t="s">
        <v>83</v>
      </c>
      <c r="G31" s="13" t="str">
        <f t="shared" si="4"/>
        <v>54502.9877</v>
      </c>
      <c r="H31" s="14">
        <f t="shared" si="5"/>
        <v>16609.5</v>
      </c>
      <c r="I31" s="27" t="s">
        <v>327</v>
      </c>
      <c r="J31" s="28" t="s">
        <v>328</v>
      </c>
      <c r="K31" s="27" t="s">
        <v>329</v>
      </c>
      <c r="L31" s="27" t="s">
        <v>330</v>
      </c>
      <c r="M31" s="28" t="s">
        <v>245</v>
      </c>
      <c r="N31" s="28" t="s">
        <v>83</v>
      </c>
      <c r="O31" s="29" t="s">
        <v>321</v>
      </c>
      <c r="P31" s="30" t="s">
        <v>322</v>
      </c>
    </row>
    <row r="32" spans="1:16" ht="12.75" customHeight="1" thickBot="1" x14ac:dyDescent="0.25">
      <c r="A32" s="14" t="str">
        <f t="shared" si="0"/>
        <v>IBVS 5910 </v>
      </c>
      <c r="B32" s="6" t="str">
        <f t="shared" si="1"/>
        <v>I</v>
      </c>
      <c r="C32" s="14">
        <f t="shared" si="2"/>
        <v>54507.917300000001</v>
      </c>
      <c r="D32" s="13" t="str">
        <f t="shared" si="3"/>
        <v>vis</v>
      </c>
      <c r="E32" s="26">
        <f>VLOOKUP(C32,Active!C$21:E$971,3,FALSE)</f>
        <v>16609.21711476483</v>
      </c>
      <c r="F32" s="6" t="s">
        <v>83</v>
      </c>
      <c r="G32" s="13" t="str">
        <f t="shared" si="4"/>
        <v>54507.9173</v>
      </c>
      <c r="H32" s="14">
        <f t="shared" si="5"/>
        <v>16613</v>
      </c>
      <c r="I32" s="27" t="s">
        <v>331</v>
      </c>
      <c r="J32" s="28" t="s">
        <v>332</v>
      </c>
      <c r="K32" s="27" t="s">
        <v>333</v>
      </c>
      <c r="L32" s="27" t="s">
        <v>334</v>
      </c>
      <c r="M32" s="28" t="s">
        <v>245</v>
      </c>
      <c r="N32" s="28" t="s">
        <v>83</v>
      </c>
      <c r="O32" s="29" t="s">
        <v>321</v>
      </c>
      <c r="P32" s="30" t="s">
        <v>322</v>
      </c>
    </row>
    <row r="33" spans="1:16" ht="12.75" customHeight="1" thickBot="1" x14ac:dyDescent="0.25">
      <c r="A33" s="14" t="str">
        <f t="shared" si="0"/>
        <v>IBVS 5910 </v>
      </c>
      <c r="B33" s="6" t="str">
        <f t="shared" si="1"/>
        <v>II</v>
      </c>
      <c r="C33" s="14">
        <f t="shared" si="2"/>
        <v>54567.763899999998</v>
      </c>
      <c r="D33" s="13" t="str">
        <f t="shared" si="3"/>
        <v>vis</v>
      </c>
      <c r="E33" s="26">
        <f>VLOOKUP(C33,Active!C$21:E$971,3,FALSE)</f>
        <v>16651.795285898246</v>
      </c>
      <c r="F33" s="6" t="s">
        <v>83</v>
      </c>
      <c r="G33" s="13" t="str">
        <f t="shared" si="4"/>
        <v>54567.7639</v>
      </c>
      <c r="H33" s="14">
        <f t="shared" si="5"/>
        <v>16655.5</v>
      </c>
      <c r="I33" s="27" t="s">
        <v>341</v>
      </c>
      <c r="J33" s="28" t="s">
        <v>342</v>
      </c>
      <c r="K33" s="27" t="s">
        <v>343</v>
      </c>
      <c r="L33" s="27" t="s">
        <v>344</v>
      </c>
      <c r="M33" s="28" t="s">
        <v>245</v>
      </c>
      <c r="N33" s="28" t="s">
        <v>83</v>
      </c>
      <c r="O33" s="29" t="s">
        <v>321</v>
      </c>
      <c r="P33" s="30" t="s">
        <v>322</v>
      </c>
    </row>
    <row r="34" spans="1:16" ht="12.75" customHeight="1" thickBot="1" x14ac:dyDescent="0.25">
      <c r="A34" s="14" t="str">
        <f t="shared" si="0"/>
        <v>IBVS 5910 </v>
      </c>
      <c r="B34" s="6" t="str">
        <f t="shared" si="1"/>
        <v>II</v>
      </c>
      <c r="C34" s="14">
        <f t="shared" si="2"/>
        <v>54584.662100000001</v>
      </c>
      <c r="D34" s="13" t="str">
        <f t="shared" si="3"/>
        <v>vis</v>
      </c>
      <c r="E34" s="26">
        <f>VLOOKUP(C34,Active!C$21:E$971,3,FALSE)</f>
        <v>16663.817597131416</v>
      </c>
      <c r="F34" s="6" t="s">
        <v>83</v>
      </c>
      <c r="G34" s="13" t="str">
        <f t="shared" si="4"/>
        <v>54584.6621</v>
      </c>
      <c r="H34" s="14">
        <f t="shared" si="5"/>
        <v>16667.5</v>
      </c>
      <c r="I34" s="27" t="s">
        <v>345</v>
      </c>
      <c r="J34" s="28" t="s">
        <v>346</v>
      </c>
      <c r="K34" s="27" t="s">
        <v>347</v>
      </c>
      <c r="L34" s="27" t="s">
        <v>348</v>
      </c>
      <c r="M34" s="28" t="s">
        <v>245</v>
      </c>
      <c r="N34" s="28" t="s">
        <v>83</v>
      </c>
      <c r="O34" s="29" t="s">
        <v>321</v>
      </c>
      <c r="P34" s="30" t="s">
        <v>322</v>
      </c>
    </row>
    <row r="35" spans="1:16" ht="12.75" customHeight="1" thickBot="1" x14ac:dyDescent="0.25">
      <c r="A35" s="14" t="str">
        <f t="shared" si="0"/>
        <v>IBVS 5910 </v>
      </c>
      <c r="B35" s="6" t="str">
        <f t="shared" si="1"/>
        <v>II</v>
      </c>
      <c r="C35" s="14">
        <f t="shared" si="2"/>
        <v>54584.663</v>
      </c>
      <c r="D35" s="13" t="str">
        <f t="shared" si="3"/>
        <v>vis</v>
      </c>
      <c r="E35" s="26">
        <f>VLOOKUP(C35,Active!C$21:E$971,3,FALSE)</f>
        <v>16663.818237441039</v>
      </c>
      <c r="F35" s="6" t="s">
        <v>83</v>
      </c>
      <c r="G35" s="13" t="str">
        <f t="shared" si="4"/>
        <v>54584.6630</v>
      </c>
      <c r="H35" s="14">
        <f t="shared" si="5"/>
        <v>16667.5</v>
      </c>
      <c r="I35" s="27" t="s">
        <v>349</v>
      </c>
      <c r="J35" s="28" t="s">
        <v>350</v>
      </c>
      <c r="K35" s="27" t="s">
        <v>347</v>
      </c>
      <c r="L35" s="27" t="s">
        <v>351</v>
      </c>
      <c r="M35" s="28" t="s">
        <v>245</v>
      </c>
      <c r="N35" s="28" t="s">
        <v>83</v>
      </c>
      <c r="O35" s="29" t="s">
        <v>321</v>
      </c>
      <c r="P35" s="30" t="s">
        <v>322</v>
      </c>
    </row>
    <row r="36" spans="1:16" ht="12.75" customHeight="1" thickBot="1" x14ac:dyDescent="0.25">
      <c r="A36" s="14" t="str">
        <f t="shared" si="0"/>
        <v>IBVS 5910 </v>
      </c>
      <c r="B36" s="6" t="str">
        <f t="shared" si="1"/>
        <v>II</v>
      </c>
      <c r="C36" s="14">
        <f t="shared" si="2"/>
        <v>54591.703099999999</v>
      </c>
      <c r="D36" s="13" t="str">
        <f t="shared" si="3"/>
        <v>vis</v>
      </c>
      <c r="E36" s="26">
        <f>VLOOKUP(C36,Active!C$21:E$971,3,FALSE)</f>
        <v>16668.826952766492</v>
      </c>
      <c r="F36" s="6" t="s">
        <v>83</v>
      </c>
      <c r="G36" s="13" t="str">
        <f t="shared" si="4"/>
        <v>54591.7031</v>
      </c>
      <c r="H36" s="14">
        <f t="shared" si="5"/>
        <v>16672.5</v>
      </c>
      <c r="I36" s="27" t="s">
        <v>352</v>
      </c>
      <c r="J36" s="28" t="s">
        <v>353</v>
      </c>
      <c r="K36" s="27" t="s">
        <v>354</v>
      </c>
      <c r="L36" s="27" t="s">
        <v>355</v>
      </c>
      <c r="M36" s="28" t="s">
        <v>245</v>
      </c>
      <c r="N36" s="28" t="s">
        <v>83</v>
      </c>
      <c r="O36" s="29" t="s">
        <v>321</v>
      </c>
      <c r="P36" s="30" t="s">
        <v>322</v>
      </c>
    </row>
    <row r="37" spans="1:16" ht="12.75" customHeight="1" thickBot="1" x14ac:dyDescent="0.25">
      <c r="A37" s="14" t="str">
        <f t="shared" si="0"/>
        <v> JAAVSO 38;85 </v>
      </c>
      <c r="B37" s="6" t="str">
        <f t="shared" si="1"/>
        <v>I</v>
      </c>
      <c r="C37" s="14">
        <f t="shared" si="2"/>
        <v>54905.726600000002</v>
      </c>
      <c r="D37" s="13" t="str">
        <f t="shared" si="3"/>
        <v>vis</v>
      </c>
      <c r="E37" s="26">
        <f>VLOOKUP(C37,Active!C$21:E$971,3,FALSE)</f>
        <v>16892.240585669872</v>
      </c>
      <c r="F37" s="6" t="s">
        <v>83</v>
      </c>
      <c r="G37" s="13" t="str">
        <f t="shared" si="4"/>
        <v>54905.7266</v>
      </c>
      <c r="H37" s="14">
        <f t="shared" si="5"/>
        <v>16896</v>
      </c>
      <c r="I37" s="27" t="s">
        <v>356</v>
      </c>
      <c r="J37" s="28" t="s">
        <v>357</v>
      </c>
      <c r="K37" s="27" t="s">
        <v>358</v>
      </c>
      <c r="L37" s="27" t="s">
        <v>359</v>
      </c>
      <c r="M37" s="28" t="s">
        <v>245</v>
      </c>
      <c r="N37" s="28" t="s">
        <v>312</v>
      </c>
      <c r="O37" s="29" t="s">
        <v>145</v>
      </c>
      <c r="P37" s="29" t="s">
        <v>360</v>
      </c>
    </row>
    <row r="38" spans="1:16" ht="12.75" customHeight="1" thickBot="1" x14ac:dyDescent="0.25">
      <c r="A38" s="14" t="str">
        <f t="shared" si="0"/>
        <v>IBVS 5945 </v>
      </c>
      <c r="B38" s="6" t="str">
        <f t="shared" si="1"/>
        <v>II</v>
      </c>
      <c r="C38" s="14">
        <f t="shared" si="2"/>
        <v>55240.876100000001</v>
      </c>
      <c r="D38" s="13" t="str">
        <f t="shared" si="3"/>
        <v>CCD</v>
      </c>
      <c r="E38" s="26">
        <f>VLOOKUP(C38,Active!C$21:E$971,3,FALSE)</f>
        <v>17130.684419843907</v>
      </c>
      <c r="F38" s="6" t="str">
        <f>LEFT(M38,1)</f>
        <v>C</v>
      </c>
      <c r="G38" s="13" t="str">
        <f t="shared" si="4"/>
        <v>55240.8761</v>
      </c>
      <c r="H38" s="14">
        <f t="shared" si="5"/>
        <v>17134.5</v>
      </c>
      <c r="I38" s="27" t="s">
        <v>370</v>
      </c>
      <c r="J38" s="28" t="s">
        <v>371</v>
      </c>
      <c r="K38" s="27" t="s">
        <v>372</v>
      </c>
      <c r="L38" s="27" t="s">
        <v>373</v>
      </c>
      <c r="M38" s="28" t="s">
        <v>245</v>
      </c>
      <c r="N38" s="28" t="s">
        <v>83</v>
      </c>
      <c r="O38" s="29" t="s">
        <v>374</v>
      </c>
      <c r="P38" s="30" t="s">
        <v>375</v>
      </c>
    </row>
    <row r="39" spans="1:16" ht="12.75" customHeight="1" thickBot="1" x14ac:dyDescent="0.25">
      <c r="A39" s="14" t="str">
        <f t="shared" si="0"/>
        <v> JAAVSO 39;94 </v>
      </c>
      <c r="B39" s="6" t="str">
        <f t="shared" si="1"/>
        <v>I</v>
      </c>
      <c r="C39" s="14">
        <f t="shared" si="2"/>
        <v>55279.600400000003</v>
      </c>
      <c r="D39" s="13" t="str">
        <f t="shared" si="3"/>
        <v>CCD</v>
      </c>
      <c r="E39" s="26">
        <f>VLOOKUP(C39,Active!C$21:E$971,3,FALSE)</f>
        <v>17158.235022090685</v>
      </c>
      <c r="F39" s="6" t="str">
        <f>LEFT(M39,1)</f>
        <v>C</v>
      </c>
      <c r="G39" s="13" t="str">
        <f t="shared" si="4"/>
        <v>55279.6004</v>
      </c>
      <c r="H39" s="14">
        <f t="shared" si="5"/>
        <v>17162</v>
      </c>
      <c r="I39" s="27" t="s">
        <v>376</v>
      </c>
      <c r="J39" s="28" t="s">
        <v>377</v>
      </c>
      <c r="K39" s="27" t="s">
        <v>378</v>
      </c>
      <c r="L39" s="27" t="s">
        <v>379</v>
      </c>
      <c r="M39" s="28" t="s">
        <v>245</v>
      </c>
      <c r="N39" s="28" t="s">
        <v>312</v>
      </c>
      <c r="O39" s="29" t="s">
        <v>145</v>
      </c>
      <c r="P39" s="29" t="s">
        <v>380</v>
      </c>
    </row>
    <row r="40" spans="1:16" ht="12.75" customHeight="1" thickBot="1" x14ac:dyDescent="0.25">
      <c r="A40" s="14" t="str">
        <f t="shared" si="0"/>
        <v>IBVS 5992 </v>
      </c>
      <c r="B40" s="6" t="str">
        <f t="shared" si="1"/>
        <v>I</v>
      </c>
      <c r="C40" s="14">
        <f t="shared" si="2"/>
        <v>55585.878700000001</v>
      </c>
      <c r="D40" s="13" t="str">
        <f t="shared" si="3"/>
        <v>vis</v>
      </c>
      <c r="E40" s="26">
        <f>VLOOKUP(C40,Active!C$21:E$971,3,FALSE)</f>
        <v>17376.138292649957</v>
      </c>
      <c r="F40" s="6" t="s">
        <v>83</v>
      </c>
      <c r="G40" s="13" t="str">
        <f t="shared" si="4"/>
        <v>55585.8787</v>
      </c>
      <c r="H40" s="14">
        <f t="shared" si="5"/>
        <v>17380</v>
      </c>
      <c r="I40" s="27" t="s">
        <v>388</v>
      </c>
      <c r="J40" s="28" t="s">
        <v>389</v>
      </c>
      <c r="K40" s="27" t="s">
        <v>390</v>
      </c>
      <c r="L40" s="27" t="s">
        <v>391</v>
      </c>
      <c r="M40" s="28" t="s">
        <v>245</v>
      </c>
      <c r="N40" s="28" t="s">
        <v>83</v>
      </c>
      <c r="O40" s="29" t="s">
        <v>374</v>
      </c>
      <c r="P40" s="30" t="s">
        <v>392</v>
      </c>
    </row>
    <row r="41" spans="1:16" ht="12.75" customHeight="1" thickBot="1" x14ac:dyDescent="0.25">
      <c r="A41" s="14" t="str">
        <f t="shared" si="0"/>
        <v>BAVM 220 </v>
      </c>
      <c r="B41" s="6" t="str">
        <f t="shared" si="1"/>
        <v>I</v>
      </c>
      <c r="C41" s="14">
        <f t="shared" si="2"/>
        <v>55625.3079</v>
      </c>
      <c r="D41" s="13" t="str">
        <f t="shared" si="3"/>
        <v>vis</v>
      </c>
      <c r="E41" s="26">
        <f>VLOOKUP(C41,Active!C$21:E$971,3,FALSE)</f>
        <v>17404.190399624353</v>
      </c>
      <c r="F41" s="6" t="s">
        <v>83</v>
      </c>
      <c r="G41" s="13" t="str">
        <f t="shared" si="4"/>
        <v>55625.3079</v>
      </c>
      <c r="H41" s="14">
        <f t="shared" si="5"/>
        <v>17408</v>
      </c>
      <c r="I41" s="27" t="s">
        <v>400</v>
      </c>
      <c r="J41" s="28" t="s">
        <v>401</v>
      </c>
      <c r="K41" s="27" t="s">
        <v>402</v>
      </c>
      <c r="L41" s="27" t="s">
        <v>403</v>
      </c>
      <c r="M41" s="28" t="s">
        <v>245</v>
      </c>
      <c r="N41" s="28" t="s">
        <v>251</v>
      </c>
      <c r="O41" s="29" t="s">
        <v>252</v>
      </c>
      <c r="P41" s="30" t="s">
        <v>404</v>
      </c>
    </row>
    <row r="42" spans="1:16" ht="12.75" customHeight="1" thickBot="1" x14ac:dyDescent="0.25">
      <c r="A42" s="14" t="str">
        <f t="shared" si="0"/>
        <v> JAAVSO 39;177 </v>
      </c>
      <c r="B42" s="6" t="str">
        <f t="shared" si="1"/>
        <v>I</v>
      </c>
      <c r="C42" s="14">
        <f t="shared" si="2"/>
        <v>55650.654900000001</v>
      </c>
      <c r="D42" s="13" t="str">
        <f t="shared" si="3"/>
        <v>vis</v>
      </c>
      <c r="E42" s="26">
        <f>VLOOKUP(C42,Active!C$21:E$971,3,FALSE)</f>
        <v>17422.223653037559</v>
      </c>
      <c r="F42" s="6" t="s">
        <v>83</v>
      </c>
      <c r="G42" s="13" t="str">
        <f t="shared" si="4"/>
        <v>55650.6549</v>
      </c>
      <c r="H42" s="14">
        <f t="shared" si="5"/>
        <v>17426</v>
      </c>
      <c r="I42" s="27" t="s">
        <v>409</v>
      </c>
      <c r="J42" s="28" t="s">
        <v>410</v>
      </c>
      <c r="K42" s="27" t="s">
        <v>411</v>
      </c>
      <c r="L42" s="27" t="s">
        <v>412</v>
      </c>
      <c r="M42" s="28" t="s">
        <v>245</v>
      </c>
      <c r="N42" s="28" t="s">
        <v>83</v>
      </c>
      <c r="O42" s="29" t="s">
        <v>145</v>
      </c>
      <c r="P42" s="29" t="s">
        <v>413</v>
      </c>
    </row>
    <row r="43" spans="1:16" ht="12.75" customHeight="1" thickBot="1" x14ac:dyDescent="0.25">
      <c r="A43" s="14" t="str">
        <f t="shared" ref="A43:A74" si="6">P43</f>
        <v>BAVM 239 </v>
      </c>
      <c r="B43" s="6" t="str">
        <f t="shared" ref="B43:B74" si="7">IF(H43=INT(H43),"I","II")</f>
        <v>I</v>
      </c>
      <c r="C43" s="14">
        <f t="shared" ref="C43:C74" si="8">1*G43</f>
        <v>57074.325499999999</v>
      </c>
      <c r="D43" s="13" t="str">
        <f t="shared" ref="D43:D74" si="9">VLOOKUP(F43,I$1:J$5,2,FALSE)</f>
        <v>vis</v>
      </c>
      <c r="E43" s="26">
        <f>VLOOKUP(C43,Active!C$21:E$971,3,FALSE)</f>
        <v>18435.101417930091</v>
      </c>
      <c r="F43" s="6" t="s">
        <v>83</v>
      </c>
      <c r="G43" s="13" t="str">
        <f t="shared" ref="G43:G74" si="10">MID(I43,3,LEN(I43)-3)</f>
        <v>57074.3255</v>
      </c>
      <c r="H43" s="14">
        <f t="shared" ref="H43:H74" si="11">1*K43</f>
        <v>18439</v>
      </c>
      <c r="I43" s="27" t="s">
        <v>424</v>
      </c>
      <c r="J43" s="28" t="s">
        <v>425</v>
      </c>
      <c r="K43" s="27" t="s">
        <v>426</v>
      </c>
      <c r="L43" s="27" t="s">
        <v>427</v>
      </c>
      <c r="M43" s="28" t="s">
        <v>245</v>
      </c>
      <c r="N43" s="28" t="s">
        <v>251</v>
      </c>
      <c r="O43" s="29" t="s">
        <v>252</v>
      </c>
      <c r="P43" s="30" t="s">
        <v>428</v>
      </c>
    </row>
    <row r="44" spans="1:16" ht="12.75" customHeight="1" thickBot="1" x14ac:dyDescent="0.25">
      <c r="A44" s="14" t="str">
        <f t="shared" si="6"/>
        <v> PZ 6.312 </v>
      </c>
      <c r="B44" s="6" t="str">
        <f t="shared" si="7"/>
        <v>II</v>
      </c>
      <c r="C44" s="14">
        <f t="shared" si="8"/>
        <v>19829.36</v>
      </c>
      <c r="D44" s="13" t="str">
        <f t="shared" si="9"/>
        <v>vis</v>
      </c>
      <c r="E44" s="26">
        <f>VLOOKUP(C44,Active!C$21:E$971,3,FALSE)</f>
        <v>-8063.020696229999</v>
      </c>
      <c r="F44" s="6" t="s">
        <v>83</v>
      </c>
      <c r="G44" s="13" t="str">
        <f t="shared" si="10"/>
        <v>19829.36</v>
      </c>
      <c r="H44" s="14">
        <f t="shared" si="11"/>
        <v>-8063.5</v>
      </c>
      <c r="I44" s="27" t="s">
        <v>86</v>
      </c>
      <c r="J44" s="28" t="s">
        <v>87</v>
      </c>
      <c r="K44" s="27">
        <v>-8063.5</v>
      </c>
      <c r="L44" s="27" t="s">
        <v>88</v>
      </c>
      <c r="M44" s="28" t="s">
        <v>89</v>
      </c>
      <c r="N44" s="28"/>
      <c r="O44" s="29" t="s">
        <v>90</v>
      </c>
      <c r="P44" s="29" t="s">
        <v>91</v>
      </c>
    </row>
    <row r="45" spans="1:16" ht="12.75" customHeight="1" thickBot="1" x14ac:dyDescent="0.25">
      <c r="A45" s="14" t="str">
        <f t="shared" si="6"/>
        <v> AN 275.40 </v>
      </c>
      <c r="B45" s="6" t="str">
        <f t="shared" si="7"/>
        <v>I</v>
      </c>
      <c r="C45" s="14">
        <f t="shared" si="8"/>
        <v>26767.4</v>
      </c>
      <c r="D45" s="13" t="str">
        <f t="shared" si="9"/>
        <v>vis</v>
      </c>
      <c r="E45" s="26">
        <f>VLOOKUP(C45,Active!C$21:E$971,3,FALSE)</f>
        <v>-3126.9164822812086</v>
      </c>
      <c r="F45" s="6" t="s">
        <v>83</v>
      </c>
      <c r="G45" s="13" t="str">
        <f t="shared" si="10"/>
        <v>26767.4</v>
      </c>
      <c r="H45" s="14">
        <f t="shared" si="11"/>
        <v>-3127</v>
      </c>
      <c r="I45" s="27" t="s">
        <v>92</v>
      </c>
      <c r="J45" s="28" t="s">
        <v>93</v>
      </c>
      <c r="K45" s="27">
        <v>-3127</v>
      </c>
      <c r="L45" s="27" t="s">
        <v>94</v>
      </c>
      <c r="M45" s="28" t="s">
        <v>89</v>
      </c>
      <c r="N45" s="28"/>
      <c r="O45" s="29" t="s">
        <v>95</v>
      </c>
      <c r="P45" s="29" t="s">
        <v>96</v>
      </c>
    </row>
    <row r="46" spans="1:16" ht="12.75" customHeight="1" thickBot="1" x14ac:dyDescent="0.25">
      <c r="A46" s="14" t="str">
        <f t="shared" si="6"/>
        <v> AN 275.40 </v>
      </c>
      <c r="B46" s="6" t="str">
        <f t="shared" si="7"/>
        <v>I</v>
      </c>
      <c r="C46" s="14">
        <f t="shared" si="8"/>
        <v>28240.400000000001</v>
      </c>
      <c r="D46" s="13" t="str">
        <f t="shared" si="9"/>
        <v>vis</v>
      </c>
      <c r="E46" s="26">
        <f>VLOOKUP(C46,Active!C$21:E$971,3,FALSE)</f>
        <v>-2078.9430622452091</v>
      </c>
      <c r="F46" s="6" t="s">
        <v>83</v>
      </c>
      <c r="G46" s="13" t="str">
        <f t="shared" si="10"/>
        <v>28240.4</v>
      </c>
      <c r="H46" s="14">
        <f t="shared" si="11"/>
        <v>-2079</v>
      </c>
      <c r="I46" s="27" t="s">
        <v>97</v>
      </c>
      <c r="J46" s="28" t="s">
        <v>98</v>
      </c>
      <c r="K46" s="27">
        <v>-2079</v>
      </c>
      <c r="L46" s="27" t="s">
        <v>94</v>
      </c>
      <c r="M46" s="28" t="s">
        <v>89</v>
      </c>
      <c r="N46" s="28"/>
      <c r="O46" s="29" t="s">
        <v>95</v>
      </c>
      <c r="P46" s="29" t="s">
        <v>96</v>
      </c>
    </row>
    <row r="47" spans="1:16" ht="12.75" customHeight="1" thickBot="1" x14ac:dyDescent="0.25">
      <c r="A47" s="14" t="str">
        <f t="shared" si="6"/>
        <v> AN 275.40 </v>
      </c>
      <c r="B47" s="6" t="str">
        <f t="shared" si="7"/>
        <v>II</v>
      </c>
      <c r="C47" s="14">
        <f t="shared" si="8"/>
        <v>28654.400000000001</v>
      </c>
      <c r="D47" s="13" t="str">
        <f t="shared" si="9"/>
        <v>vis</v>
      </c>
      <c r="E47" s="26">
        <f>VLOOKUP(C47,Active!C$21:E$971,3,FALSE)</f>
        <v>-1784.4006346179831</v>
      </c>
      <c r="F47" s="6" t="s">
        <v>83</v>
      </c>
      <c r="G47" s="13" t="str">
        <f t="shared" si="10"/>
        <v>28654.4</v>
      </c>
      <c r="H47" s="14">
        <f t="shared" si="11"/>
        <v>-1784.5</v>
      </c>
      <c r="I47" s="27" t="s">
        <v>99</v>
      </c>
      <c r="J47" s="28" t="s">
        <v>100</v>
      </c>
      <c r="K47" s="27">
        <v>-1784.5</v>
      </c>
      <c r="L47" s="27" t="s">
        <v>94</v>
      </c>
      <c r="M47" s="28" t="s">
        <v>89</v>
      </c>
      <c r="N47" s="28"/>
      <c r="O47" s="29" t="s">
        <v>95</v>
      </c>
      <c r="P47" s="29" t="s">
        <v>96</v>
      </c>
    </row>
    <row r="48" spans="1:16" ht="12.75" customHeight="1" thickBot="1" x14ac:dyDescent="0.25">
      <c r="A48" s="14" t="str">
        <f t="shared" si="6"/>
        <v> PZ 6.198 </v>
      </c>
      <c r="B48" s="6" t="str">
        <f t="shared" si="7"/>
        <v>I</v>
      </c>
      <c r="C48" s="14">
        <f t="shared" si="8"/>
        <v>31162.400000000001</v>
      </c>
      <c r="D48" s="13" t="str">
        <f t="shared" si="9"/>
        <v>vis</v>
      </c>
      <c r="E48" s="26">
        <f>VLOOKUP(C48,Active!C$21:E$971,3,FALSE)</f>
        <v>-7.1145513918584494E-2</v>
      </c>
      <c r="F48" s="6" t="s">
        <v>83</v>
      </c>
      <c r="G48" s="13" t="str">
        <f t="shared" si="10"/>
        <v>31162.400</v>
      </c>
      <c r="H48" s="14">
        <f t="shared" si="11"/>
        <v>0</v>
      </c>
      <c r="I48" s="27" t="s">
        <v>101</v>
      </c>
      <c r="J48" s="28" t="s">
        <v>102</v>
      </c>
      <c r="K48" s="27">
        <v>0</v>
      </c>
      <c r="L48" s="27" t="s">
        <v>103</v>
      </c>
      <c r="M48" s="28" t="s">
        <v>85</v>
      </c>
      <c r="N48" s="28"/>
      <c r="O48" s="29" t="s">
        <v>104</v>
      </c>
      <c r="P48" s="29" t="s">
        <v>105</v>
      </c>
    </row>
    <row r="49" spans="1:16" ht="12.75" customHeight="1" thickBot="1" x14ac:dyDescent="0.25">
      <c r="A49" s="14" t="str">
        <f t="shared" si="6"/>
        <v> PZ 6.198 </v>
      </c>
      <c r="B49" s="6" t="str">
        <f t="shared" si="7"/>
        <v>I</v>
      </c>
      <c r="C49" s="14">
        <f t="shared" si="8"/>
        <v>31169.46</v>
      </c>
      <c r="D49" s="13" t="str">
        <f t="shared" si="9"/>
        <v>vis</v>
      </c>
      <c r="E49" s="26">
        <f>VLOOKUP(C49,Active!C$21:E$971,3,FALSE)</f>
        <v>4.9517277688049166</v>
      </c>
      <c r="F49" s="6" t="s">
        <v>83</v>
      </c>
      <c r="G49" s="13" t="str">
        <f t="shared" si="10"/>
        <v>31169.46</v>
      </c>
      <c r="H49" s="14">
        <f t="shared" si="11"/>
        <v>5</v>
      </c>
      <c r="I49" s="27" t="s">
        <v>106</v>
      </c>
      <c r="J49" s="28" t="s">
        <v>107</v>
      </c>
      <c r="K49" s="27">
        <v>5</v>
      </c>
      <c r="L49" s="27" t="s">
        <v>108</v>
      </c>
      <c r="M49" s="28" t="s">
        <v>85</v>
      </c>
      <c r="N49" s="28"/>
      <c r="O49" s="29" t="s">
        <v>104</v>
      </c>
      <c r="P49" s="29" t="s">
        <v>105</v>
      </c>
    </row>
    <row r="50" spans="1:16" ht="12.75" customHeight="1" thickBot="1" x14ac:dyDescent="0.25">
      <c r="A50" s="14" t="str">
        <f t="shared" si="6"/>
        <v> PZ 6.198 </v>
      </c>
      <c r="B50" s="6" t="str">
        <f t="shared" si="7"/>
        <v>I</v>
      </c>
      <c r="C50" s="14">
        <f t="shared" si="8"/>
        <v>31176.45</v>
      </c>
      <c r="D50" s="13" t="str">
        <f t="shared" si="9"/>
        <v>vis</v>
      </c>
      <c r="E50" s="26">
        <f>VLOOKUP(C50,Active!C$21:E$971,3,FALSE)</f>
        <v>9.9247991917874803</v>
      </c>
      <c r="F50" s="6" t="s">
        <v>83</v>
      </c>
      <c r="G50" s="13" t="str">
        <f t="shared" si="10"/>
        <v>31176.45</v>
      </c>
      <c r="H50" s="14">
        <f t="shared" si="11"/>
        <v>10</v>
      </c>
      <c r="I50" s="27" t="s">
        <v>109</v>
      </c>
      <c r="J50" s="28" t="s">
        <v>110</v>
      </c>
      <c r="K50" s="27">
        <v>10</v>
      </c>
      <c r="L50" s="27" t="s">
        <v>111</v>
      </c>
      <c r="M50" s="28" t="s">
        <v>85</v>
      </c>
      <c r="N50" s="28"/>
      <c r="O50" s="29" t="s">
        <v>104</v>
      </c>
      <c r="P50" s="29" t="s">
        <v>105</v>
      </c>
    </row>
    <row r="51" spans="1:16" ht="12.75" customHeight="1" thickBot="1" x14ac:dyDescent="0.25">
      <c r="A51" s="14" t="str">
        <f t="shared" si="6"/>
        <v> PZ 6.198 </v>
      </c>
      <c r="B51" s="6" t="str">
        <f t="shared" si="7"/>
        <v>I</v>
      </c>
      <c r="C51" s="14">
        <f t="shared" si="8"/>
        <v>31179.29</v>
      </c>
      <c r="D51" s="13" t="str">
        <f t="shared" si="9"/>
        <v>vis</v>
      </c>
      <c r="E51" s="26">
        <f>VLOOKUP(C51,Active!C$21:E$971,3,FALSE)</f>
        <v>11.945331787104786</v>
      </c>
      <c r="F51" s="6" t="s">
        <v>83</v>
      </c>
      <c r="G51" s="13" t="str">
        <f t="shared" si="10"/>
        <v>31179.29</v>
      </c>
      <c r="H51" s="14">
        <f t="shared" si="11"/>
        <v>12</v>
      </c>
      <c r="I51" s="27" t="s">
        <v>112</v>
      </c>
      <c r="J51" s="28" t="s">
        <v>113</v>
      </c>
      <c r="K51" s="27">
        <v>12</v>
      </c>
      <c r="L51" s="27" t="s">
        <v>114</v>
      </c>
      <c r="M51" s="28" t="s">
        <v>85</v>
      </c>
      <c r="N51" s="28"/>
      <c r="O51" s="29" t="s">
        <v>104</v>
      </c>
      <c r="P51" s="29" t="s">
        <v>105</v>
      </c>
    </row>
    <row r="52" spans="1:16" ht="12.75" customHeight="1" thickBot="1" x14ac:dyDescent="0.25">
      <c r="A52" s="14" t="str">
        <f t="shared" si="6"/>
        <v> BRNO 31.94 </v>
      </c>
      <c r="B52" s="6" t="str">
        <f t="shared" si="7"/>
        <v>I</v>
      </c>
      <c r="C52" s="14">
        <f t="shared" si="8"/>
        <v>36227.538</v>
      </c>
      <c r="D52" s="13" t="str">
        <f t="shared" si="9"/>
        <v>vis</v>
      </c>
      <c r="E52" s="26">
        <f>VLOOKUP(C52,Active!C$21:E$971,3,FALSE)</f>
        <v>3603.5473153240328</v>
      </c>
      <c r="F52" s="6" t="s">
        <v>83</v>
      </c>
      <c r="G52" s="13" t="str">
        <f t="shared" si="10"/>
        <v>36227.538</v>
      </c>
      <c r="H52" s="14">
        <f t="shared" si="11"/>
        <v>3607</v>
      </c>
      <c r="I52" s="27" t="s">
        <v>115</v>
      </c>
      <c r="J52" s="28" t="s">
        <v>116</v>
      </c>
      <c r="K52" s="27">
        <v>3607</v>
      </c>
      <c r="L52" s="27" t="s">
        <v>117</v>
      </c>
      <c r="M52" s="28" t="s">
        <v>89</v>
      </c>
      <c r="N52" s="28"/>
      <c r="O52" s="29" t="s">
        <v>118</v>
      </c>
      <c r="P52" s="29" t="s">
        <v>119</v>
      </c>
    </row>
    <row r="53" spans="1:16" ht="12.75" customHeight="1" thickBot="1" x14ac:dyDescent="0.25">
      <c r="A53" s="14" t="str">
        <f t="shared" si="6"/>
        <v> BRNO 31.94 </v>
      </c>
      <c r="B53" s="6" t="str">
        <f t="shared" si="7"/>
        <v>I</v>
      </c>
      <c r="C53" s="14">
        <f t="shared" si="8"/>
        <v>36285.398999999998</v>
      </c>
      <c r="D53" s="13" t="str">
        <f t="shared" si="9"/>
        <v>vis</v>
      </c>
      <c r="E53" s="26">
        <f>VLOOKUP(C53,Active!C$21:E$971,3,FALSE)</f>
        <v>3644.7128211330619</v>
      </c>
      <c r="F53" s="6" t="s">
        <v>83</v>
      </c>
      <c r="G53" s="13" t="str">
        <f t="shared" si="10"/>
        <v>36285.399</v>
      </c>
      <c r="H53" s="14">
        <f t="shared" si="11"/>
        <v>3648</v>
      </c>
      <c r="I53" s="27" t="s">
        <v>120</v>
      </c>
      <c r="J53" s="28" t="s">
        <v>121</v>
      </c>
      <c r="K53" s="27">
        <v>3648</v>
      </c>
      <c r="L53" s="27" t="s">
        <v>122</v>
      </c>
      <c r="M53" s="28" t="s">
        <v>89</v>
      </c>
      <c r="N53" s="28"/>
      <c r="O53" s="29" t="s">
        <v>118</v>
      </c>
      <c r="P53" s="29" t="s">
        <v>119</v>
      </c>
    </row>
    <row r="54" spans="1:16" ht="12.75" customHeight="1" thickBot="1" x14ac:dyDescent="0.25">
      <c r="A54" s="14" t="str">
        <f t="shared" si="6"/>
        <v> BRNO 31.94 </v>
      </c>
      <c r="B54" s="6" t="str">
        <f t="shared" si="7"/>
        <v>II</v>
      </c>
      <c r="C54" s="14">
        <f t="shared" si="8"/>
        <v>37403.39</v>
      </c>
      <c r="D54" s="13" t="str">
        <f t="shared" si="9"/>
        <v>vis</v>
      </c>
      <c r="E54" s="26">
        <f>VLOOKUP(C54,Active!C$21:E$971,3,FALSE)</f>
        <v>4440.1132636581597</v>
      </c>
      <c r="F54" s="6" t="s">
        <v>83</v>
      </c>
      <c r="G54" s="13" t="str">
        <f t="shared" si="10"/>
        <v>37403.390</v>
      </c>
      <c r="H54" s="14">
        <f t="shared" si="11"/>
        <v>4443.5</v>
      </c>
      <c r="I54" s="27" t="s">
        <v>123</v>
      </c>
      <c r="J54" s="28" t="s">
        <v>124</v>
      </c>
      <c r="K54" s="27">
        <v>4443.5</v>
      </c>
      <c r="L54" s="27" t="s">
        <v>125</v>
      </c>
      <c r="M54" s="28" t="s">
        <v>89</v>
      </c>
      <c r="N54" s="28"/>
      <c r="O54" s="29" t="s">
        <v>118</v>
      </c>
      <c r="P54" s="29" t="s">
        <v>119</v>
      </c>
    </row>
    <row r="55" spans="1:16" ht="12.75" customHeight="1" thickBot="1" x14ac:dyDescent="0.25">
      <c r="A55" s="14" t="str">
        <f t="shared" si="6"/>
        <v> BRNO 31.94 </v>
      </c>
      <c r="B55" s="6" t="str">
        <f t="shared" si="7"/>
        <v>II</v>
      </c>
      <c r="C55" s="14">
        <f t="shared" si="8"/>
        <v>40318.385999999999</v>
      </c>
      <c r="D55" s="13" t="str">
        <f t="shared" si="9"/>
        <v>vis</v>
      </c>
      <c r="E55" s="26">
        <f>VLOOKUP(C55,Active!C$21:E$971,3,FALSE)</f>
        <v>6514.0021485945199</v>
      </c>
      <c r="F55" s="6" t="s">
        <v>83</v>
      </c>
      <c r="G55" s="13" t="str">
        <f t="shared" si="10"/>
        <v>40318.386</v>
      </c>
      <c r="H55" s="14">
        <f t="shared" si="11"/>
        <v>6517.5</v>
      </c>
      <c r="I55" s="27" t="s">
        <v>126</v>
      </c>
      <c r="J55" s="28" t="s">
        <v>127</v>
      </c>
      <c r="K55" s="27">
        <v>6517.5</v>
      </c>
      <c r="L55" s="27" t="s">
        <v>128</v>
      </c>
      <c r="M55" s="28" t="s">
        <v>89</v>
      </c>
      <c r="N55" s="28"/>
      <c r="O55" s="29" t="s">
        <v>118</v>
      </c>
      <c r="P55" s="29" t="s">
        <v>119</v>
      </c>
    </row>
    <row r="56" spans="1:16" ht="12.75" customHeight="1" thickBot="1" x14ac:dyDescent="0.25">
      <c r="A56" s="14" t="str">
        <f t="shared" si="6"/>
        <v> BRNO 31.94 </v>
      </c>
      <c r="B56" s="6" t="str">
        <f t="shared" si="7"/>
        <v>I</v>
      </c>
      <c r="C56" s="14">
        <f t="shared" si="8"/>
        <v>41391.377</v>
      </c>
      <c r="D56" s="13" t="str">
        <f t="shared" si="9"/>
        <v>vis</v>
      </c>
      <c r="E56" s="26">
        <f>VLOOKUP(C56,Active!C$21:E$971,3,FALSE)</f>
        <v>7277.3871098557884</v>
      </c>
      <c r="F56" s="6" t="s">
        <v>83</v>
      </c>
      <c r="G56" s="13" t="str">
        <f t="shared" si="10"/>
        <v>41391.377</v>
      </c>
      <c r="H56" s="14">
        <f t="shared" si="11"/>
        <v>7281</v>
      </c>
      <c r="I56" s="27" t="s">
        <v>129</v>
      </c>
      <c r="J56" s="28" t="s">
        <v>130</v>
      </c>
      <c r="K56" s="27">
        <v>7281</v>
      </c>
      <c r="L56" s="27" t="s">
        <v>131</v>
      </c>
      <c r="M56" s="28" t="s">
        <v>89</v>
      </c>
      <c r="N56" s="28"/>
      <c r="O56" s="29" t="s">
        <v>118</v>
      </c>
      <c r="P56" s="29" t="s">
        <v>119</v>
      </c>
    </row>
    <row r="57" spans="1:16" ht="12.75" customHeight="1" thickBot="1" x14ac:dyDescent="0.25">
      <c r="A57" s="14" t="str">
        <f t="shared" si="6"/>
        <v> BRNO 31.94 </v>
      </c>
      <c r="B57" s="6" t="str">
        <f t="shared" si="7"/>
        <v>I</v>
      </c>
      <c r="C57" s="14">
        <f t="shared" si="8"/>
        <v>41595.603000000003</v>
      </c>
      <c r="D57" s="13" t="str">
        <f t="shared" si="9"/>
        <v>vis</v>
      </c>
      <c r="E57" s="26">
        <f>VLOOKUP(C57,Active!C$21:E$971,3,FALSE)</f>
        <v>7422.6847471132733</v>
      </c>
      <c r="F57" s="6" t="s">
        <v>83</v>
      </c>
      <c r="G57" s="13" t="str">
        <f t="shared" si="10"/>
        <v>41595.603</v>
      </c>
      <c r="H57" s="14">
        <f t="shared" si="11"/>
        <v>7426</v>
      </c>
      <c r="I57" s="27" t="s">
        <v>132</v>
      </c>
      <c r="J57" s="28" t="s">
        <v>133</v>
      </c>
      <c r="K57" s="27">
        <v>7426</v>
      </c>
      <c r="L57" s="27" t="s">
        <v>134</v>
      </c>
      <c r="M57" s="28" t="s">
        <v>89</v>
      </c>
      <c r="N57" s="28"/>
      <c r="O57" s="29" t="s">
        <v>118</v>
      </c>
      <c r="P57" s="29" t="s">
        <v>119</v>
      </c>
    </row>
    <row r="58" spans="1:16" ht="12.75" customHeight="1" thickBot="1" x14ac:dyDescent="0.25">
      <c r="A58" s="14" t="str">
        <f t="shared" si="6"/>
        <v> BRNO 31.94 </v>
      </c>
      <c r="B58" s="6" t="str">
        <f t="shared" si="7"/>
        <v>II</v>
      </c>
      <c r="C58" s="14">
        <f t="shared" si="8"/>
        <v>41798.381999999998</v>
      </c>
      <c r="D58" s="13" t="str">
        <f t="shared" si="9"/>
        <v>vis</v>
      </c>
      <c r="E58" s="26">
        <f>VLOOKUP(C58,Active!C$21:E$971,3,FALSE)</f>
        <v>7566.9529087843348</v>
      </c>
      <c r="F58" s="6" t="s">
        <v>83</v>
      </c>
      <c r="G58" s="13" t="str">
        <f t="shared" si="10"/>
        <v>41798.382</v>
      </c>
      <c r="H58" s="14">
        <f t="shared" si="11"/>
        <v>7570.5</v>
      </c>
      <c r="I58" s="27" t="s">
        <v>135</v>
      </c>
      <c r="J58" s="28" t="s">
        <v>136</v>
      </c>
      <c r="K58" s="27">
        <v>7570.5</v>
      </c>
      <c r="L58" s="27" t="s">
        <v>137</v>
      </c>
      <c r="M58" s="28" t="s">
        <v>89</v>
      </c>
      <c r="N58" s="28"/>
      <c r="O58" s="29" t="s">
        <v>118</v>
      </c>
      <c r="P58" s="29" t="s">
        <v>119</v>
      </c>
    </row>
    <row r="59" spans="1:16" ht="12.75" customHeight="1" thickBot="1" x14ac:dyDescent="0.25">
      <c r="A59" s="14" t="str">
        <f t="shared" si="6"/>
        <v> BRNO 31.94 </v>
      </c>
      <c r="B59" s="6" t="str">
        <f t="shared" si="7"/>
        <v>I</v>
      </c>
      <c r="C59" s="14">
        <f t="shared" si="8"/>
        <v>41990.582999999999</v>
      </c>
      <c r="D59" s="13" t="str">
        <f t="shared" si="9"/>
        <v>vis</v>
      </c>
      <c r="E59" s="26">
        <f>VLOOKUP(C59,Active!C$21:E$971,3,FALSE)</f>
        <v>7703.6952979929838</v>
      </c>
      <c r="F59" s="6" t="s">
        <v>83</v>
      </c>
      <c r="G59" s="13" t="str">
        <f t="shared" si="10"/>
        <v>41990.583</v>
      </c>
      <c r="H59" s="14">
        <f t="shared" si="11"/>
        <v>7707</v>
      </c>
      <c r="I59" s="27" t="s">
        <v>138</v>
      </c>
      <c r="J59" s="28" t="s">
        <v>139</v>
      </c>
      <c r="K59" s="27">
        <v>7707</v>
      </c>
      <c r="L59" s="27" t="s">
        <v>140</v>
      </c>
      <c r="M59" s="28" t="s">
        <v>89</v>
      </c>
      <c r="N59" s="28"/>
      <c r="O59" s="29" t="s">
        <v>118</v>
      </c>
      <c r="P59" s="29" t="s">
        <v>119</v>
      </c>
    </row>
    <row r="60" spans="1:16" ht="12.75" customHeight="1" thickBot="1" x14ac:dyDescent="0.25">
      <c r="A60" s="14" t="str">
        <f t="shared" si="6"/>
        <v> AOEB 12 </v>
      </c>
      <c r="B60" s="6" t="str">
        <f t="shared" si="7"/>
        <v>II</v>
      </c>
      <c r="C60" s="14">
        <f t="shared" si="8"/>
        <v>43549.786999999997</v>
      </c>
      <c r="D60" s="13" t="str">
        <f t="shared" si="9"/>
        <v>vis</v>
      </c>
      <c r="E60" s="26">
        <f>VLOOKUP(C60,Active!C$21:E$971,3,FALSE)</f>
        <v>8812.9989968482514</v>
      </c>
      <c r="F60" s="6" t="s">
        <v>83</v>
      </c>
      <c r="G60" s="13" t="str">
        <f t="shared" si="10"/>
        <v>43549.787</v>
      </c>
      <c r="H60" s="14">
        <f t="shared" si="11"/>
        <v>8816.5</v>
      </c>
      <c r="I60" s="27" t="s">
        <v>141</v>
      </c>
      <c r="J60" s="28" t="s">
        <v>142</v>
      </c>
      <c r="K60" s="27">
        <v>8816.5</v>
      </c>
      <c r="L60" s="27" t="s">
        <v>143</v>
      </c>
      <c r="M60" s="28" t="s">
        <v>144</v>
      </c>
      <c r="N60" s="28"/>
      <c r="O60" s="29" t="s">
        <v>145</v>
      </c>
      <c r="P60" s="29" t="s">
        <v>146</v>
      </c>
    </row>
    <row r="61" spans="1:16" ht="12.75" customHeight="1" thickBot="1" x14ac:dyDescent="0.25">
      <c r="A61" s="14" t="str">
        <f t="shared" si="6"/>
        <v> AOEB 12 </v>
      </c>
      <c r="B61" s="6" t="str">
        <f t="shared" si="7"/>
        <v>II</v>
      </c>
      <c r="C61" s="14">
        <f t="shared" si="8"/>
        <v>43982.71</v>
      </c>
      <c r="D61" s="13" t="str">
        <f t="shared" si="9"/>
        <v>vis</v>
      </c>
      <c r="E61" s="26">
        <f>VLOOKUP(C61,Active!C$21:E$971,3,FALSE)</f>
        <v>9121.0042900744884</v>
      </c>
      <c r="F61" s="6" t="s">
        <v>83</v>
      </c>
      <c r="G61" s="13" t="str">
        <f t="shared" si="10"/>
        <v>43982.710</v>
      </c>
      <c r="H61" s="14">
        <f t="shared" si="11"/>
        <v>9124.5</v>
      </c>
      <c r="I61" s="27" t="s">
        <v>147</v>
      </c>
      <c r="J61" s="28" t="s">
        <v>148</v>
      </c>
      <c r="K61" s="27">
        <v>9124.5</v>
      </c>
      <c r="L61" s="27" t="s">
        <v>149</v>
      </c>
      <c r="M61" s="28" t="s">
        <v>144</v>
      </c>
      <c r="N61" s="28"/>
      <c r="O61" s="29" t="s">
        <v>145</v>
      </c>
      <c r="P61" s="29" t="s">
        <v>146</v>
      </c>
    </row>
    <row r="62" spans="1:16" ht="12.75" customHeight="1" thickBot="1" x14ac:dyDescent="0.25">
      <c r="A62" s="14" t="str">
        <f t="shared" si="6"/>
        <v> BRNO 31.94 </v>
      </c>
      <c r="B62" s="6" t="str">
        <f t="shared" si="7"/>
        <v>I</v>
      </c>
      <c r="C62" s="14">
        <f t="shared" si="8"/>
        <v>44634.427000000003</v>
      </c>
      <c r="D62" s="13" t="str">
        <f t="shared" si="9"/>
        <v>vis</v>
      </c>
      <c r="E62" s="26">
        <f>VLOOKUP(C62,Active!C$21:E$971,3,FALSE)</f>
        <v>9584.6716990260211</v>
      </c>
      <c r="F62" s="6" t="s">
        <v>83</v>
      </c>
      <c r="G62" s="13" t="str">
        <f t="shared" si="10"/>
        <v>44634.427</v>
      </c>
      <c r="H62" s="14">
        <f t="shared" si="11"/>
        <v>9588</v>
      </c>
      <c r="I62" s="27" t="s">
        <v>150</v>
      </c>
      <c r="J62" s="28" t="s">
        <v>151</v>
      </c>
      <c r="K62" s="27">
        <v>9588</v>
      </c>
      <c r="L62" s="27" t="s">
        <v>152</v>
      </c>
      <c r="M62" s="28" t="s">
        <v>89</v>
      </c>
      <c r="N62" s="28"/>
      <c r="O62" s="29" t="s">
        <v>118</v>
      </c>
      <c r="P62" s="29" t="s">
        <v>119</v>
      </c>
    </row>
    <row r="63" spans="1:16" ht="12.75" customHeight="1" thickBot="1" x14ac:dyDescent="0.25">
      <c r="A63" s="14" t="str">
        <f t="shared" si="6"/>
        <v> AOEB 12 </v>
      </c>
      <c r="B63" s="6" t="str">
        <f t="shared" si="7"/>
        <v>II</v>
      </c>
      <c r="C63" s="14">
        <f t="shared" si="8"/>
        <v>45753.758000000002</v>
      </c>
      <c r="D63" s="13" t="str">
        <f t="shared" si="9"/>
        <v>vis</v>
      </c>
      <c r="E63" s="26">
        <f>VLOOKUP(C63,Active!C$21:E$971,3,FALSE)</f>
        <v>10381.025491437638</v>
      </c>
      <c r="F63" s="6" t="s">
        <v>83</v>
      </c>
      <c r="G63" s="13" t="str">
        <f t="shared" si="10"/>
        <v>45753.758</v>
      </c>
      <c r="H63" s="14">
        <f t="shared" si="11"/>
        <v>10384.5</v>
      </c>
      <c r="I63" s="27" t="s">
        <v>153</v>
      </c>
      <c r="J63" s="28" t="s">
        <v>154</v>
      </c>
      <c r="K63" s="27">
        <v>10384.5</v>
      </c>
      <c r="L63" s="27" t="s">
        <v>155</v>
      </c>
      <c r="M63" s="28" t="s">
        <v>144</v>
      </c>
      <c r="N63" s="28"/>
      <c r="O63" s="29" t="s">
        <v>145</v>
      </c>
      <c r="P63" s="29" t="s">
        <v>146</v>
      </c>
    </row>
    <row r="64" spans="1:16" ht="12.75" customHeight="1" thickBot="1" x14ac:dyDescent="0.25">
      <c r="A64" s="14" t="str">
        <f t="shared" si="6"/>
        <v> BRNO 31.95 </v>
      </c>
      <c r="B64" s="6" t="str">
        <f t="shared" si="7"/>
        <v>I</v>
      </c>
      <c r="C64" s="14">
        <f t="shared" si="8"/>
        <v>45810.300999999999</v>
      </c>
      <c r="D64" s="13" t="str">
        <f t="shared" si="9"/>
        <v>vis</v>
      </c>
      <c r="E64" s="26">
        <f>VLOOKUP(C64,Active!C$21:E$971,3,FALSE)</f>
        <v>10421.253299373207</v>
      </c>
      <c r="F64" s="6" t="s">
        <v>83</v>
      </c>
      <c r="G64" s="13" t="str">
        <f t="shared" si="10"/>
        <v>45810.301</v>
      </c>
      <c r="H64" s="14">
        <f t="shared" si="11"/>
        <v>10425</v>
      </c>
      <c r="I64" s="27" t="s">
        <v>156</v>
      </c>
      <c r="J64" s="28" t="s">
        <v>157</v>
      </c>
      <c r="K64" s="27">
        <v>10425</v>
      </c>
      <c r="L64" s="27" t="s">
        <v>158</v>
      </c>
      <c r="M64" s="28" t="s">
        <v>144</v>
      </c>
      <c r="N64" s="28"/>
      <c r="O64" s="29" t="s">
        <v>159</v>
      </c>
      <c r="P64" s="29" t="s">
        <v>160</v>
      </c>
    </row>
    <row r="65" spans="1:16" ht="12.75" customHeight="1" thickBot="1" x14ac:dyDescent="0.25">
      <c r="A65" s="14" t="str">
        <f t="shared" si="6"/>
        <v> BRNO 31.94 </v>
      </c>
      <c r="B65" s="6" t="str">
        <f t="shared" si="7"/>
        <v>II</v>
      </c>
      <c r="C65" s="14">
        <f t="shared" si="8"/>
        <v>45912.35</v>
      </c>
      <c r="D65" s="13" t="str">
        <f t="shared" si="9"/>
        <v>vis</v>
      </c>
      <c r="E65" s="26">
        <f>VLOOKUP(C65,Active!C$21:E$971,3,FALSE)</f>
        <v>10493.85658487304</v>
      </c>
      <c r="F65" s="6" t="s">
        <v>83</v>
      </c>
      <c r="G65" s="13" t="str">
        <f t="shared" si="10"/>
        <v>45912.350</v>
      </c>
      <c r="H65" s="14">
        <f t="shared" si="11"/>
        <v>10497.5</v>
      </c>
      <c r="I65" s="27" t="s">
        <v>161</v>
      </c>
      <c r="J65" s="28" t="s">
        <v>162</v>
      </c>
      <c r="K65" s="27">
        <v>10497.5</v>
      </c>
      <c r="L65" s="27" t="s">
        <v>163</v>
      </c>
      <c r="M65" s="28" t="s">
        <v>89</v>
      </c>
      <c r="N65" s="28"/>
      <c r="O65" s="29" t="s">
        <v>118</v>
      </c>
      <c r="P65" s="29" t="s">
        <v>119</v>
      </c>
    </row>
    <row r="66" spans="1:16" ht="12.75" customHeight="1" thickBot="1" x14ac:dyDescent="0.25">
      <c r="A66" s="14" t="str">
        <f t="shared" si="6"/>
        <v> BRNO 31.95 </v>
      </c>
      <c r="B66" s="6" t="str">
        <f t="shared" si="7"/>
        <v>I</v>
      </c>
      <c r="C66" s="14">
        <f t="shared" si="8"/>
        <v>45917.338000000003</v>
      </c>
      <c r="D66" s="13" t="str">
        <f t="shared" si="9"/>
        <v>vis</v>
      </c>
      <c r="E66" s="26">
        <f>VLOOKUP(C66,Active!C$21:E$971,3,FALSE)</f>
        <v>10497.405323107354</v>
      </c>
      <c r="F66" s="6" t="s">
        <v>83</v>
      </c>
      <c r="G66" s="13" t="str">
        <f t="shared" si="10"/>
        <v>45917.338</v>
      </c>
      <c r="H66" s="14">
        <f t="shared" si="11"/>
        <v>10501</v>
      </c>
      <c r="I66" s="27" t="s">
        <v>164</v>
      </c>
      <c r="J66" s="28" t="s">
        <v>165</v>
      </c>
      <c r="K66" s="27">
        <v>10501</v>
      </c>
      <c r="L66" s="27" t="s">
        <v>166</v>
      </c>
      <c r="M66" s="28" t="s">
        <v>144</v>
      </c>
      <c r="N66" s="28"/>
      <c r="O66" s="29" t="s">
        <v>159</v>
      </c>
      <c r="P66" s="29" t="s">
        <v>160</v>
      </c>
    </row>
    <row r="67" spans="1:16" ht="12.75" customHeight="1" thickBot="1" x14ac:dyDescent="0.25">
      <c r="A67" s="14" t="str">
        <f t="shared" si="6"/>
        <v> BRNO 31.94 </v>
      </c>
      <c r="B67" s="6" t="str">
        <f t="shared" si="7"/>
        <v>I</v>
      </c>
      <c r="C67" s="14">
        <f t="shared" si="8"/>
        <v>46004.593999999997</v>
      </c>
      <c r="D67" s="13" t="str">
        <f t="shared" si="9"/>
        <v>vis</v>
      </c>
      <c r="E67" s="26">
        <f>VLOOKUP(C67,Active!C$21:E$971,3,FALSE)</f>
        <v>10559.484052733053</v>
      </c>
      <c r="F67" s="6" t="s">
        <v>83</v>
      </c>
      <c r="G67" s="13" t="str">
        <f t="shared" si="10"/>
        <v>46004.594</v>
      </c>
      <c r="H67" s="14">
        <f t="shared" si="11"/>
        <v>10563</v>
      </c>
      <c r="I67" s="27" t="s">
        <v>167</v>
      </c>
      <c r="J67" s="28" t="s">
        <v>168</v>
      </c>
      <c r="K67" s="27">
        <v>10563</v>
      </c>
      <c r="L67" s="27" t="s">
        <v>169</v>
      </c>
      <c r="M67" s="28" t="s">
        <v>89</v>
      </c>
      <c r="N67" s="28"/>
      <c r="O67" s="29" t="s">
        <v>118</v>
      </c>
      <c r="P67" s="29" t="s">
        <v>119</v>
      </c>
    </row>
    <row r="68" spans="1:16" ht="12.75" customHeight="1" thickBot="1" x14ac:dyDescent="0.25">
      <c r="A68" s="14" t="str">
        <f t="shared" si="6"/>
        <v> BRNO 31.94 </v>
      </c>
      <c r="B68" s="6" t="str">
        <f t="shared" si="7"/>
        <v>I</v>
      </c>
      <c r="C68" s="14">
        <f t="shared" si="8"/>
        <v>46059.49</v>
      </c>
      <c r="D68" s="13" t="str">
        <f t="shared" si="9"/>
        <v>vis</v>
      </c>
      <c r="E68" s="26">
        <f>VLOOKUP(C68,Active!C$21:E$971,3,FALSE)</f>
        <v>10598.540094054368</v>
      </c>
      <c r="F68" s="6" t="s">
        <v>83</v>
      </c>
      <c r="G68" s="13" t="str">
        <f t="shared" si="10"/>
        <v>46059.490</v>
      </c>
      <c r="H68" s="14">
        <f t="shared" si="11"/>
        <v>10602</v>
      </c>
      <c r="I68" s="27" t="s">
        <v>170</v>
      </c>
      <c r="J68" s="28" t="s">
        <v>171</v>
      </c>
      <c r="K68" s="27">
        <v>10602</v>
      </c>
      <c r="L68" s="27" t="s">
        <v>172</v>
      </c>
      <c r="M68" s="28" t="s">
        <v>89</v>
      </c>
      <c r="N68" s="28"/>
      <c r="O68" s="29" t="s">
        <v>118</v>
      </c>
      <c r="P68" s="29" t="s">
        <v>119</v>
      </c>
    </row>
    <row r="69" spans="1:16" ht="12.75" customHeight="1" thickBot="1" x14ac:dyDescent="0.25">
      <c r="A69" s="14" t="str">
        <f t="shared" si="6"/>
        <v> BRNO 31.94 </v>
      </c>
      <c r="B69" s="6" t="str">
        <f t="shared" si="7"/>
        <v>I</v>
      </c>
      <c r="C69" s="14">
        <f t="shared" si="8"/>
        <v>46121.466</v>
      </c>
      <c r="D69" s="13" t="str">
        <f t="shared" si="9"/>
        <v>vis</v>
      </c>
      <c r="E69" s="26">
        <f>VLOOKUP(C69,Active!C$21:E$971,3,FALSE)</f>
        <v>10642.633237761193</v>
      </c>
      <c r="F69" s="6" t="s">
        <v>83</v>
      </c>
      <c r="G69" s="13" t="str">
        <f t="shared" si="10"/>
        <v>46121.466</v>
      </c>
      <c r="H69" s="14">
        <f t="shared" si="11"/>
        <v>10646</v>
      </c>
      <c r="I69" s="27" t="s">
        <v>173</v>
      </c>
      <c r="J69" s="28" t="s">
        <v>174</v>
      </c>
      <c r="K69" s="27">
        <v>10646</v>
      </c>
      <c r="L69" s="27" t="s">
        <v>175</v>
      </c>
      <c r="M69" s="28" t="s">
        <v>89</v>
      </c>
      <c r="N69" s="28"/>
      <c r="O69" s="29" t="s">
        <v>118</v>
      </c>
      <c r="P69" s="29" t="s">
        <v>119</v>
      </c>
    </row>
    <row r="70" spans="1:16" ht="12.75" customHeight="1" thickBot="1" x14ac:dyDescent="0.25">
      <c r="A70" s="14" t="str">
        <f t="shared" si="6"/>
        <v> BRNO 31.94 </v>
      </c>
      <c r="B70" s="6" t="str">
        <f t="shared" si="7"/>
        <v>I</v>
      </c>
      <c r="C70" s="14">
        <f t="shared" si="8"/>
        <v>46200.374000000003</v>
      </c>
      <c r="D70" s="13" t="str">
        <f t="shared" si="9"/>
        <v>vis</v>
      </c>
      <c r="E70" s="26">
        <f>VLOOKUP(C70,Active!C$21:E$971,3,FALSE)</f>
        <v>10698.772739884889</v>
      </c>
      <c r="F70" s="6" t="s">
        <v>83</v>
      </c>
      <c r="G70" s="13" t="str">
        <f t="shared" si="10"/>
        <v>46200.374</v>
      </c>
      <c r="H70" s="14">
        <f t="shared" si="11"/>
        <v>10702</v>
      </c>
      <c r="I70" s="27" t="s">
        <v>176</v>
      </c>
      <c r="J70" s="28" t="s">
        <v>177</v>
      </c>
      <c r="K70" s="27">
        <v>10702</v>
      </c>
      <c r="L70" s="27" t="s">
        <v>178</v>
      </c>
      <c r="M70" s="28" t="s">
        <v>89</v>
      </c>
      <c r="N70" s="28"/>
      <c r="O70" s="29" t="s">
        <v>118</v>
      </c>
      <c r="P70" s="29" t="s">
        <v>119</v>
      </c>
    </row>
    <row r="71" spans="1:16" ht="12.75" customHeight="1" thickBot="1" x14ac:dyDescent="0.25">
      <c r="A71" s="14" t="str">
        <f t="shared" si="6"/>
        <v>BAVM 43 </v>
      </c>
      <c r="B71" s="6" t="str">
        <f t="shared" si="7"/>
        <v>I</v>
      </c>
      <c r="C71" s="14">
        <f t="shared" si="8"/>
        <v>46200.379000000001</v>
      </c>
      <c r="D71" s="13" t="str">
        <f t="shared" si="9"/>
        <v>vis</v>
      </c>
      <c r="E71" s="26">
        <f>VLOOKUP(C71,Active!C$21:E$971,3,FALSE)</f>
        <v>10698.776297160583</v>
      </c>
      <c r="F71" s="6" t="s">
        <v>83</v>
      </c>
      <c r="G71" s="13" t="str">
        <f t="shared" si="10"/>
        <v>46200.379</v>
      </c>
      <c r="H71" s="14">
        <f t="shared" si="11"/>
        <v>10702</v>
      </c>
      <c r="I71" s="27" t="s">
        <v>179</v>
      </c>
      <c r="J71" s="28" t="s">
        <v>180</v>
      </c>
      <c r="K71" s="27">
        <v>10702</v>
      </c>
      <c r="L71" s="27" t="s">
        <v>181</v>
      </c>
      <c r="M71" s="28" t="s">
        <v>144</v>
      </c>
      <c r="N71" s="28"/>
      <c r="O71" s="29" t="s">
        <v>182</v>
      </c>
      <c r="P71" s="30" t="s">
        <v>183</v>
      </c>
    </row>
    <row r="72" spans="1:16" ht="12.75" customHeight="1" thickBot="1" x14ac:dyDescent="0.25">
      <c r="A72" s="14" t="str">
        <f t="shared" si="6"/>
        <v> BRNO 31.95 </v>
      </c>
      <c r="B72" s="6" t="str">
        <f t="shared" si="7"/>
        <v>II</v>
      </c>
      <c r="C72" s="14">
        <f t="shared" si="8"/>
        <v>46552.394999999997</v>
      </c>
      <c r="D72" s="13" t="str">
        <f t="shared" si="9"/>
        <v>vis</v>
      </c>
      <c r="E72" s="26">
        <f>VLOOKUP(C72,Active!C$21:E$971,3,FALSE)</f>
        <v>10949.21988943987</v>
      </c>
      <c r="F72" s="6" t="s">
        <v>83</v>
      </c>
      <c r="G72" s="13" t="str">
        <f t="shared" si="10"/>
        <v>46552.395</v>
      </c>
      <c r="H72" s="14">
        <f t="shared" si="11"/>
        <v>10952.5</v>
      </c>
      <c r="I72" s="27" t="s">
        <v>184</v>
      </c>
      <c r="J72" s="28" t="s">
        <v>185</v>
      </c>
      <c r="K72" s="27">
        <v>10952.5</v>
      </c>
      <c r="L72" s="27" t="s">
        <v>186</v>
      </c>
      <c r="M72" s="28" t="s">
        <v>144</v>
      </c>
      <c r="N72" s="28"/>
      <c r="O72" s="29" t="s">
        <v>187</v>
      </c>
      <c r="P72" s="29" t="s">
        <v>160</v>
      </c>
    </row>
    <row r="73" spans="1:16" ht="12.75" customHeight="1" thickBot="1" x14ac:dyDescent="0.25">
      <c r="A73" s="14" t="str">
        <f t="shared" si="6"/>
        <v> BRNO 31.94 </v>
      </c>
      <c r="B73" s="6" t="str">
        <f t="shared" si="7"/>
        <v>I</v>
      </c>
      <c r="C73" s="14">
        <f t="shared" si="8"/>
        <v>46828.341999999997</v>
      </c>
      <c r="D73" s="13" t="str">
        <f t="shared" si="9"/>
        <v>vis</v>
      </c>
      <c r="E73" s="26">
        <f>VLOOKUP(C73,Active!C$21:E$971,3,FALSE)</f>
        <v>11145.543800735642</v>
      </c>
      <c r="F73" s="6" t="s">
        <v>83</v>
      </c>
      <c r="G73" s="13" t="str">
        <f t="shared" si="10"/>
        <v>46828.342</v>
      </c>
      <c r="H73" s="14">
        <f t="shared" si="11"/>
        <v>11149</v>
      </c>
      <c r="I73" s="27" t="s">
        <v>188</v>
      </c>
      <c r="J73" s="28" t="s">
        <v>189</v>
      </c>
      <c r="K73" s="27">
        <v>11149</v>
      </c>
      <c r="L73" s="27" t="s">
        <v>190</v>
      </c>
      <c r="M73" s="28" t="s">
        <v>89</v>
      </c>
      <c r="N73" s="28"/>
      <c r="O73" s="29" t="s">
        <v>118</v>
      </c>
      <c r="P73" s="29" t="s">
        <v>119</v>
      </c>
    </row>
    <row r="74" spans="1:16" ht="12.75" customHeight="1" thickBot="1" x14ac:dyDescent="0.25">
      <c r="A74" s="14" t="str">
        <f t="shared" si="6"/>
        <v> BRNO 31.95 </v>
      </c>
      <c r="B74" s="6" t="str">
        <f t="shared" si="7"/>
        <v>II</v>
      </c>
      <c r="C74" s="14">
        <f t="shared" si="8"/>
        <v>47266.34</v>
      </c>
      <c r="D74" s="13" t="str">
        <f t="shared" si="9"/>
        <v>vis</v>
      </c>
      <c r="E74" s="26">
        <f>VLOOKUP(C74,Active!C$21:E$971,3,FALSE)</f>
        <v>11457.159728793298</v>
      </c>
      <c r="F74" s="6" t="s">
        <v>83</v>
      </c>
      <c r="G74" s="13" t="str">
        <f t="shared" si="10"/>
        <v>47266.340</v>
      </c>
      <c r="H74" s="14">
        <f t="shared" si="11"/>
        <v>11460.5</v>
      </c>
      <c r="I74" s="27" t="s">
        <v>191</v>
      </c>
      <c r="J74" s="28" t="s">
        <v>192</v>
      </c>
      <c r="K74" s="27">
        <v>11460.5</v>
      </c>
      <c r="L74" s="27" t="s">
        <v>193</v>
      </c>
      <c r="M74" s="28" t="s">
        <v>144</v>
      </c>
      <c r="N74" s="28"/>
      <c r="O74" s="29" t="s">
        <v>187</v>
      </c>
      <c r="P74" s="29" t="s">
        <v>160</v>
      </c>
    </row>
    <row r="75" spans="1:16" ht="12.75" customHeight="1" thickBot="1" x14ac:dyDescent="0.25">
      <c r="A75" s="14" t="str">
        <f t="shared" ref="A75:A90" si="12">P75</f>
        <v> BRNO 31 </v>
      </c>
      <c r="B75" s="6" t="str">
        <f t="shared" ref="B75:B90" si="13">IF(H75=INT(H75),"I","II")</f>
        <v>II</v>
      </c>
      <c r="C75" s="14">
        <f t="shared" ref="C75:C90" si="14">1*G75</f>
        <v>47970.438999999998</v>
      </c>
      <c r="D75" s="13" t="str">
        <f t="shared" ref="D75:D90" si="15">VLOOKUP(F75,I$1:J$5,2,FALSE)</f>
        <v>vis</v>
      </c>
      <c r="E75" s="26">
        <f>VLOOKUP(C75,Active!C$21:E$971,3,FALSE)</f>
        <v>11958.094580846204</v>
      </c>
      <c r="F75" s="6" t="s">
        <v>83</v>
      </c>
      <c r="G75" s="13" t="str">
        <f t="shared" ref="G75:G90" si="16">MID(I75,3,LEN(I75)-3)</f>
        <v>47970.439</v>
      </c>
      <c r="H75" s="14">
        <f t="shared" ref="H75:H90" si="17">1*K75</f>
        <v>11961.5</v>
      </c>
      <c r="I75" s="27" t="s">
        <v>202</v>
      </c>
      <c r="J75" s="28" t="s">
        <v>203</v>
      </c>
      <c r="K75" s="27">
        <v>11961.5</v>
      </c>
      <c r="L75" s="27" t="s">
        <v>204</v>
      </c>
      <c r="M75" s="28" t="s">
        <v>144</v>
      </c>
      <c r="N75" s="28"/>
      <c r="O75" s="29" t="s">
        <v>205</v>
      </c>
      <c r="P75" s="29" t="s">
        <v>201</v>
      </c>
    </row>
    <row r="76" spans="1:16" ht="12.75" customHeight="1" thickBot="1" x14ac:dyDescent="0.25">
      <c r="A76" s="14" t="str">
        <f t="shared" si="12"/>
        <v> BRNO 31 </v>
      </c>
      <c r="B76" s="6" t="str">
        <f t="shared" si="13"/>
        <v>II</v>
      </c>
      <c r="C76" s="14">
        <f t="shared" si="14"/>
        <v>47970.440999999999</v>
      </c>
      <c r="D76" s="13" t="str">
        <f t="shared" si="15"/>
        <v>vis</v>
      </c>
      <c r="E76" s="26">
        <f>VLOOKUP(C76,Active!C$21:E$971,3,FALSE)</f>
        <v>11958.096003756482</v>
      </c>
      <c r="F76" s="6" t="s">
        <v>83</v>
      </c>
      <c r="G76" s="13" t="str">
        <f t="shared" si="16"/>
        <v>47970.441</v>
      </c>
      <c r="H76" s="14">
        <f t="shared" si="17"/>
        <v>11961.5</v>
      </c>
      <c r="I76" s="27" t="s">
        <v>206</v>
      </c>
      <c r="J76" s="28" t="s">
        <v>207</v>
      </c>
      <c r="K76" s="27">
        <v>11961.5</v>
      </c>
      <c r="L76" s="27" t="s">
        <v>208</v>
      </c>
      <c r="M76" s="28" t="s">
        <v>144</v>
      </c>
      <c r="N76" s="28"/>
      <c r="O76" s="29" t="s">
        <v>200</v>
      </c>
      <c r="P76" s="29" t="s">
        <v>201</v>
      </c>
    </row>
    <row r="77" spans="1:16" ht="12.75" customHeight="1" thickBot="1" x14ac:dyDescent="0.25">
      <c r="A77" s="14" t="str">
        <f t="shared" si="12"/>
        <v> BRNO 32 </v>
      </c>
      <c r="B77" s="6" t="str">
        <f t="shared" si="13"/>
        <v>I</v>
      </c>
      <c r="C77" s="14">
        <f t="shared" si="14"/>
        <v>50509.390800000001</v>
      </c>
      <c r="D77" s="13" t="str">
        <f t="shared" si="15"/>
        <v>vis</v>
      </c>
      <c r="E77" s="26">
        <f>VLOOKUP(C77,Active!C$21:E$971,3,FALSE)</f>
        <v>13764.444887127644</v>
      </c>
      <c r="F77" s="6" t="s">
        <v>83</v>
      </c>
      <c r="G77" s="13" t="str">
        <f t="shared" si="16"/>
        <v>50509.3908</v>
      </c>
      <c r="H77" s="14">
        <f t="shared" si="17"/>
        <v>13768</v>
      </c>
      <c r="I77" s="27" t="s">
        <v>224</v>
      </c>
      <c r="J77" s="28" t="s">
        <v>225</v>
      </c>
      <c r="K77" s="27">
        <v>13768</v>
      </c>
      <c r="L77" s="27" t="s">
        <v>226</v>
      </c>
      <c r="M77" s="28" t="s">
        <v>144</v>
      </c>
      <c r="N77" s="28"/>
      <c r="O77" s="29" t="s">
        <v>227</v>
      </c>
      <c r="P77" s="29" t="s">
        <v>228</v>
      </c>
    </row>
    <row r="78" spans="1:16" ht="12.75" customHeight="1" thickBot="1" x14ac:dyDescent="0.25">
      <c r="A78" s="14" t="str">
        <f t="shared" si="12"/>
        <v> BRNO 32 </v>
      </c>
      <c r="B78" s="6" t="str">
        <f t="shared" si="13"/>
        <v>I</v>
      </c>
      <c r="C78" s="14">
        <f t="shared" si="14"/>
        <v>50509.392200000002</v>
      </c>
      <c r="D78" s="13" t="str">
        <f t="shared" si="15"/>
        <v>vis</v>
      </c>
      <c r="E78" s="26">
        <f>VLOOKUP(C78,Active!C$21:E$971,3,FALSE)</f>
        <v>13764.445883164839</v>
      </c>
      <c r="F78" s="6" t="s">
        <v>83</v>
      </c>
      <c r="G78" s="13" t="str">
        <f t="shared" si="16"/>
        <v>50509.3922</v>
      </c>
      <c r="H78" s="14">
        <f t="shared" si="17"/>
        <v>13768</v>
      </c>
      <c r="I78" s="27" t="s">
        <v>229</v>
      </c>
      <c r="J78" s="28" t="s">
        <v>230</v>
      </c>
      <c r="K78" s="27">
        <v>13768</v>
      </c>
      <c r="L78" s="27" t="s">
        <v>231</v>
      </c>
      <c r="M78" s="28" t="s">
        <v>144</v>
      </c>
      <c r="N78" s="28"/>
      <c r="O78" s="29" t="s">
        <v>205</v>
      </c>
      <c r="P78" s="29" t="s">
        <v>228</v>
      </c>
    </row>
    <row r="79" spans="1:16" ht="12.75" customHeight="1" thickBot="1" x14ac:dyDescent="0.25">
      <c r="A79" s="14" t="str">
        <f t="shared" si="12"/>
        <v> BRNO 32 </v>
      </c>
      <c r="B79" s="6" t="str">
        <f t="shared" si="13"/>
        <v>I</v>
      </c>
      <c r="C79" s="14">
        <f t="shared" si="14"/>
        <v>50509.402600000001</v>
      </c>
      <c r="D79" s="13" t="str">
        <f t="shared" si="15"/>
        <v>vis</v>
      </c>
      <c r="E79" s="26">
        <f>VLOOKUP(C79,Active!C$21:E$971,3,FALSE)</f>
        <v>13764.453282298286</v>
      </c>
      <c r="F79" s="6" t="s">
        <v>83</v>
      </c>
      <c r="G79" s="13" t="str">
        <f t="shared" si="16"/>
        <v>50509.4026</v>
      </c>
      <c r="H79" s="14">
        <f t="shared" si="17"/>
        <v>13768</v>
      </c>
      <c r="I79" s="27" t="s">
        <v>232</v>
      </c>
      <c r="J79" s="28" t="s">
        <v>233</v>
      </c>
      <c r="K79" s="27">
        <v>13768</v>
      </c>
      <c r="L79" s="27" t="s">
        <v>234</v>
      </c>
      <c r="M79" s="28" t="s">
        <v>144</v>
      </c>
      <c r="N79" s="28"/>
      <c r="O79" s="29" t="s">
        <v>235</v>
      </c>
      <c r="P79" s="29" t="s">
        <v>228</v>
      </c>
    </row>
    <row r="80" spans="1:16" ht="12.75" customHeight="1" thickBot="1" x14ac:dyDescent="0.25">
      <c r="A80" s="14" t="str">
        <f t="shared" si="12"/>
        <v>VSB 46 </v>
      </c>
      <c r="B80" s="6" t="str">
        <f t="shared" si="13"/>
        <v>I</v>
      </c>
      <c r="C80" s="14">
        <f t="shared" si="14"/>
        <v>54114.329599999997</v>
      </c>
      <c r="D80" s="13" t="str">
        <f t="shared" si="15"/>
        <v>vis</v>
      </c>
      <c r="E80" s="26">
        <f>VLOOKUP(C80,Active!C$21:E$971,3,FALSE)</f>
        <v>16329.197122875416</v>
      </c>
      <c r="F80" s="6" t="s">
        <v>83</v>
      </c>
      <c r="G80" s="13" t="str">
        <f t="shared" si="16"/>
        <v>54114.3296</v>
      </c>
      <c r="H80" s="14">
        <f t="shared" si="17"/>
        <v>16333</v>
      </c>
      <c r="I80" s="27" t="s">
        <v>301</v>
      </c>
      <c r="J80" s="28" t="s">
        <v>302</v>
      </c>
      <c r="K80" s="27" t="s">
        <v>303</v>
      </c>
      <c r="L80" s="27" t="s">
        <v>304</v>
      </c>
      <c r="M80" s="28" t="s">
        <v>245</v>
      </c>
      <c r="N80" s="28" t="s">
        <v>305</v>
      </c>
      <c r="O80" s="29" t="s">
        <v>306</v>
      </c>
      <c r="P80" s="30" t="s">
        <v>307</v>
      </c>
    </row>
    <row r="81" spans="1:16" ht="12.75" customHeight="1" thickBot="1" x14ac:dyDescent="0.25">
      <c r="A81" s="14" t="str">
        <f t="shared" si="12"/>
        <v> AOEB 12 </v>
      </c>
      <c r="B81" s="6" t="str">
        <f t="shared" si="13"/>
        <v>I</v>
      </c>
      <c r="C81" s="14">
        <f t="shared" si="14"/>
        <v>54167.8413</v>
      </c>
      <c r="D81" s="13" t="str">
        <f t="shared" si="15"/>
        <v>vis</v>
      </c>
      <c r="E81" s="26">
        <f>VLOOKUP(C81,Active!C$21:E$971,3,FALSE)</f>
        <v>16367.268296847542</v>
      </c>
      <c r="F81" s="6" t="s">
        <v>83</v>
      </c>
      <c r="G81" s="13" t="str">
        <f t="shared" si="16"/>
        <v>54167.8413</v>
      </c>
      <c r="H81" s="14">
        <f t="shared" si="17"/>
        <v>16371</v>
      </c>
      <c r="I81" s="27" t="s">
        <v>308</v>
      </c>
      <c r="J81" s="28" t="s">
        <v>309</v>
      </c>
      <c r="K81" s="27" t="s">
        <v>310</v>
      </c>
      <c r="L81" s="27" t="s">
        <v>311</v>
      </c>
      <c r="M81" s="28" t="s">
        <v>245</v>
      </c>
      <c r="N81" s="28" t="s">
        <v>312</v>
      </c>
      <c r="O81" s="29" t="s">
        <v>145</v>
      </c>
      <c r="P81" s="29" t="s">
        <v>146</v>
      </c>
    </row>
    <row r="82" spans="1:16" ht="12.75" customHeight="1" thickBot="1" x14ac:dyDescent="0.25">
      <c r="A82" s="14" t="str">
        <f t="shared" si="12"/>
        <v> AOEB 12 </v>
      </c>
      <c r="B82" s="6" t="str">
        <f t="shared" si="13"/>
        <v>II</v>
      </c>
      <c r="C82" s="14">
        <f t="shared" si="14"/>
        <v>54172.774899999997</v>
      </c>
      <c r="D82" s="13" t="str">
        <f t="shared" si="15"/>
        <v>vis</v>
      </c>
      <c r="E82" s="26">
        <f>VLOOKUP(C82,Active!C$21:E$971,3,FALSE)</f>
        <v>16370.778331922278</v>
      </c>
      <c r="F82" s="6" t="s">
        <v>83</v>
      </c>
      <c r="G82" s="13" t="str">
        <f t="shared" si="16"/>
        <v>54172.7749</v>
      </c>
      <c r="H82" s="14">
        <f t="shared" si="17"/>
        <v>16374.5</v>
      </c>
      <c r="I82" s="27" t="s">
        <v>313</v>
      </c>
      <c r="J82" s="28" t="s">
        <v>314</v>
      </c>
      <c r="K82" s="27" t="s">
        <v>315</v>
      </c>
      <c r="L82" s="27" t="s">
        <v>316</v>
      </c>
      <c r="M82" s="28" t="s">
        <v>245</v>
      </c>
      <c r="N82" s="28" t="s">
        <v>312</v>
      </c>
      <c r="O82" s="29" t="s">
        <v>145</v>
      </c>
      <c r="P82" s="29" t="s">
        <v>146</v>
      </c>
    </row>
    <row r="83" spans="1:16" ht="12.75" customHeight="1" thickBot="1" x14ac:dyDescent="0.25">
      <c r="A83" s="14" t="str">
        <f t="shared" si="12"/>
        <v>VSB 48 </v>
      </c>
      <c r="B83" s="6" t="str">
        <f t="shared" si="13"/>
        <v>II</v>
      </c>
      <c r="C83" s="14">
        <f t="shared" si="14"/>
        <v>54555.0893</v>
      </c>
      <c r="D83" s="13" t="str">
        <f t="shared" si="15"/>
        <v>vis</v>
      </c>
      <c r="E83" s="26">
        <f>VLOOKUP(C83,Active!C$21:E$971,3,FALSE)</f>
        <v>16642.77787659099</v>
      </c>
      <c r="F83" s="6" t="s">
        <v>83</v>
      </c>
      <c r="G83" s="13" t="str">
        <f t="shared" si="16"/>
        <v>54555.0893</v>
      </c>
      <c r="H83" s="14">
        <f t="shared" si="17"/>
        <v>16646.5</v>
      </c>
      <c r="I83" s="27" t="s">
        <v>335</v>
      </c>
      <c r="J83" s="28" t="s">
        <v>336</v>
      </c>
      <c r="K83" s="27" t="s">
        <v>337</v>
      </c>
      <c r="L83" s="27" t="s">
        <v>338</v>
      </c>
      <c r="M83" s="28" t="s">
        <v>245</v>
      </c>
      <c r="N83" s="28" t="s">
        <v>83</v>
      </c>
      <c r="O83" s="29" t="s">
        <v>339</v>
      </c>
      <c r="P83" s="30" t="s">
        <v>340</v>
      </c>
    </row>
    <row r="84" spans="1:16" ht="12.75" customHeight="1" thickBot="1" x14ac:dyDescent="0.25">
      <c r="A84" s="14" t="str">
        <f t="shared" si="12"/>
        <v>IBVS 5972 </v>
      </c>
      <c r="B84" s="6" t="str">
        <f t="shared" si="13"/>
        <v>II</v>
      </c>
      <c r="C84" s="14">
        <f t="shared" si="14"/>
        <v>55192.9954</v>
      </c>
      <c r="D84" s="13" t="str">
        <f t="shared" si="15"/>
        <v>CCD</v>
      </c>
      <c r="E84" s="26">
        <f>VLOOKUP(C84,Active!C$21:E$971,3,FALSE)</f>
        <v>17096.619449760594</v>
      </c>
      <c r="F84" s="6" t="str">
        <f>LEFT(M84,1)</f>
        <v>C</v>
      </c>
      <c r="G84" s="13" t="str">
        <f t="shared" si="16"/>
        <v>55192.9954</v>
      </c>
      <c r="H84" s="14">
        <f t="shared" si="17"/>
        <v>17100.5</v>
      </c>
      <c r="I84" s="27" t="s">
        <v>361</v>
      </c>
      <c r="J84" s="28" t="s">
        <v>362</v>
      </c>
      <c r="K84" s="27" t="s">
        <v>363</v>
      </c>
      <c r="L84" s="27" t="s">
        <v>364</v>
      </c>
      <c r="M84" s="28" t="s">
        <v>245</v>
      </c>
      <c r="N84" s="28" t="s">
        <v>83</v>
      </c>
      <c r="O84" s="29" t="s">
        <v>321</v>
      </c>
      <c r="P84" s="30" t="s">
        <v>365</v>
      </c>
    </row>
    <row r="85" spans="1:16" ht="12.75" customHeight="1" thickBot="1" x14ac:dyDescent="0.25">
      <c r="A85" s="14" t="str">
        <f t="shared" si="12"/>
        <v>IBVS 5972 </v>
      </c>
      <c r="B85" s="6" t="str">
        <f t="shared" si="13"/>
        <v>II</v>
      </c>
      <c r="C85" s="14">
        <f t="shared" si="14"/>
        <v>55209.894099999998</v>
      </c>
      <c r="D85" s="13" t="str">
        <f t="shared" si="15"/>
        <v>CCD</v>
      </c>
      <c r="E85" s="26">
        <f>VLOOKUP(C85,Active!C$21:E$971,3,FALSE)</f>
        <v>17108.64211672133</v>
      </c>
      <c r="F85" s="6" t="str">
        <f>LEFT(M85,1)</f>
        <v>C</v>
      </c>
      <c r="G85" s="13" t="str">
        <f t="shared" si="16"/>
        <v>55209.8941</v>
      </c>
      <c r="H85" s="14">
        <f t="shared" si="17"/>
        <v>17112.5</v>
      </c>
      <c r="I85" s="27" t="s">
        <v>366</v>
      </c>
      <c r="J85" s="28" t="s">
        <v>367</v>
      </c>
      <c r="K85" s="27" t="s">
        <v>368</v>
      </c>
      <c r="L85" s="27" t="s">
        <v>369</v>
      </c>
      <c r="M85" s="28" t="s">
        <v>245</v>
      </c>
      <c r="N85" s="28" t="s">
        <v>83</v>
      </c>
      <c r="O85" s="29" t="s">
        <v>321</v>
      </c>
      <c r="P85" s="30" t="s">
        <v>365</v>
      </c>
    </row>
    <row r="86" spans="1:16" ht="12.75" customHeight="1" thickBot="1" x14ac:dyDescent="0.25">
      <c r="A86" s="14" t="str">
        <f t="shared" si="12"/>
        <v>VSB 53 </v>
      </c>
      <c r="B86" s="6" t="str">
        <f t="shared" si="13"/>
        <v>I</v>
      </c>
      <c r="C86" s="14">
        <f t="shared" si="14"/>
        <v>55566.162400000001</v>
      </c>
      <c r="D86" s="13" t="str">
        <f t="shared" si="15"/>
        <v>CCD</v>
      </c>
      <c r="E86" s="26">
        <f>VLOOKUP(C86,Active!C$21:E$971,3,FALSE)</f>
        <v>17362.111029689026</v>
      </c>
      <c r="F86" s="6" t="str">
        <f>LEFT(M86,1)</f>
        <v>C</v>
      </c>
      <c r="G86" s="13" t="str">
        <f t="shared" si="16"/>
        <v>55566.1624</v>
      </c>
      <c r="H86" s="14">
        <f t="shared" si="17"/>
        <v>17366</v>
      </c>
      <c r="I86" s="27" t="s">
        <v>381</v>
      </c>
      <c r="J86" s="28" t="s">
        <v>382</v>
      </c>
      <c r="K86" s="27" t="s">
        <v>383</v>
      </c>
      <c r="L86" s="27" t="s">
        <v>384</v>
      </c>
      <c r="M86" s="28" t="s">
        <v>245</v>
      </c>
      <c r="N86" s="28" t="s">
        <v>385</v>
      </c>
      <c r="O86" s="29" t="s">
        <v>386</v>
      </c>
      <c r="P86" s="30" t="s">
        <v>387</v>
      </c>
    </row>
    <row r="87" spans="1:16" ht="12.75" customHeight="1" thickBot="1" x14ac:dyDescent="0.25">
      <c r="A87" s="14" t="str">
        <f t="shared" si="12"/>
        <v>BAVM 225 </v>
      </c>
      <c r="B87" s="6" t="str">
        <f t="shared" si="13"/>
        <v>I</v>
      </c>
      <c r="C87" s="14">
        <f t="shared" si="14"/>
        <v>55601.367899999997</v>
      </c>
      <c r="D87" s="13" t="str">
        <f t="shared" si="15"/>
        <v>vis</v>
      </c>
      <c r="E87" s="26">
        <f>VLOOKUP(C87,Active!C$21:E$971,3,FALSE)</f>
        <v>17387.158163591994</v>
      </c>
      <c r="F87" s="6" t="s">
        <v>83</v>
      </c>
      <c r="G87" s="13" t="str">
        <f t="shared" si="16"/>
        <v>55601.3679</v>
      </c>
      <c r="H87" s="14">
        <f t="shared" si="17"/>
        <v>17391</v>
      </c>
      <c r="I87" s="27" t="s">
        <v>393</v>
      </c>
      <c r="J87" s="28" t="s">
        <v>394</v>
      </c>
      <c r="K87" s="27" t="s">
        <v>395</v>
      </c>
      <c r="L87" s="27" t="s">
        <v>396</v>
      </c>
      <c r="M87" s="28" t="s">
        <v>245</v>
      </c>
      <c r="N87" s="28" t="s">
        <v>397</v>
      </c>
      <c r="O87" s="29" t="s">
        <v>398</v>
      </c>
      <c r="P87" s="30" t="s">
        <v>399</v>
      </c>
    </row>
    <row r="88" spans="1:16" ht="12.75" customHeight="1" thickBot="1" x14ac:dyDescent="0.25">
      <c r="A88" s="14" t="str">
        <f t="shared" si="12"/>
        <v>BAVM 220 </v>
      </c>
      <c r="B88" s="6" t="str">
        <f t="shared" si="13"/>
        <v>I</v>
      </c>
      <c r="C88" s="14">
        <f t="shared" si="14"/>
        <v>55625.313099999999</v>
      </c>
      <c r="D88" s="13" t="str">
        <f t="shared" si="15"/>
        <v>vis</v>
      </c>
      <c r="E88" s="26">
        <f>VLOOKUP(C88,Active!C$21:E$971,3,FALSE)</f>
        <v>17404.194099191074</v>
      </c>
      <c r="F88" s="6" t="s">
        <v>83</v>
      </c>
      <c r="G88" s="13" t="str">
        <f t="shared" si="16"/>
        <v>55625.3131</v>
      </c>
      <c r="H88" s="14">
        <f t="shared" si="17"/>
        <v>17408</v>
      </c>
      <c r="I88" s="27" t="s">
        <v>405</v>
      </c>
      <c r="J88" s="28" t="s">
        <v>406</v>
      </c>
      <c r="K88" s="27" t="s">
        <v>402</v>
      </c>
      <c r="L88" s="27" t="s">
        <v>407</v>
      </c>
      <c r="M88" s="28" t="s">
        <v>245</v>
      </c>
      <c r="N88" s="28" t="s">
        <v>264</v>
      </c>
      <c r="O88" s="29" t="s">
        <v>408</v>
      </c>
      <c r="P88" s="30" t="s">
        <v>404</v>
      </c>
    </row>
    <row r="89" spans="1:16" ht="12.75" customHeight="1" thickBot="1" x14ac:dyDescent="0.25">
      <c r="A89" s="14" t="str">
        <f t="shared" si="12"/>
        <v>VSB 59 </v>
      </c>
      <c r="B89" s="6" t="str">
        <f t="shared" si="13"/>
        <v>II</v>
      </c>
      <c r="C89" s="14">
        <f t="shared" si="14"/>
        <v>56687.076099999998</v>
      </c>
      <c r="D89" s="13" t="str">
        <f t="shared" si="15"/>
        <v>vis</v>
      </c>
      <c r="E89" s="26">
        <f>VLOOKUP(C89,Active!C$21:E$971,3,FALSE)</f>
        <v>18159.590842149446</v>
      </c>
      <c r="F89" s="6" t="s">
        <v>83</v>
      </c>
      <c r="G89" s="13" t="str">
        <f t="shared" si="16"/>
        <v>56687.0761</v>
      </c>
      <c r="H89" s="14">
        <f t="shared" si="17"/>
        <v>18163.5</v>
      </c>
      <c r="I89" s="27" t="s">
        <v>414</v>
      </c>
      <c r="J89" s="28" t="s">
        <v>415</v>
      </c>
      <c r="K89" s="27" t="s">
        <v>416</v>
      </c>
      <c r="L89" s="27" t="s">
        <v>417</v>
      </c>
      <c r="M89" s="28" t="s">
        <v>245</v>
      </c>
      <c r="N89" s="28" t="s">
        <v>385</v>
      </c>
      <c r="O89" s="29" t="s">
        <v>386</v>
      </c>
      <c r="P89" s="30" t="s">
        <v>418</v>
      </c>
    </row>
    <row r="90" spans="1:16" ht="12.75" customHeight="1" thickBot="1" x14ac:dyDescent="0.25">
      <c r="A90" s="14" t="str">
        <f t="shared" si="12"/>
        <v>VSB 59 </v>
      </c>
      <c r="B90" s="6" t="str">
        <f t="shared" si="13"/>
        <v>II</v>
      </c>
      <c r="C90" s="14">
        <f t="shared" si="14"/>
        <v>56701.158799999997</v>
      </c>
      <c r="D90" s="13" t="str">
        <f t="shared" si="15"/>
        <v>vis</v>
      </c>
      <c r="E90" s="26">
        <f>VLOOKUP(C90,Active!C$21:E$971,3,FALSE)</f>
        <v>18169.610051438205</v>
      </c>
      <c r="F90" s="6" t="s">
        <v>83</v>
      </c>
      <c r="G90" s="13" t="str">
        <f t="shared" si="16"/>
        <v>56701.1588</v>
      </c>
      <c r="H90" s="14">
        <f t="shared" si="17"/>
        <v>18173.5</v>
      </c>
      <c r="I90" s="27" t="s">
        <v>419</v>
      </c>
      <c r="J90" s="28" t="s">
        <v>420</v>
      </c>
      <c r="K90" s="27" t="s">
        <v>421</v>
      </c>
      <c r="L90" s="27" t="s">
        <v>422</v>
      </c>
      <c r="M90" s="28" t="s">
        <v>245</v>
      </c>
      <c r="N90" s="28" t="s">
        <v>83</v>
      </c>
      <c r="O90" s="29" t="s">
        <v>423</v>
      </c>
      <c r="P90" s="30" t="s">
        <v>418</v>
      </c>
    </row>
    <row r="91" spans="1:16" x14ac:dyDescent="0.2">
      <c r="B91" s="6"/>
      <c r="E91" s="26"/>
      <c r="F91" s="6"/>
    </row>
    <row r="92" spans="1:16" x14ac:dyDescent="0.2">
      <c r="B92" s="6"/>
      <c r="E92" s="26"/>
      <c r="F92" s="6"/>
    </row>
    <row r="93" spans="1:16" x14ac:dyDescent="0.2">
      <c r="B93" s="6"/>
      <c r="E93" s="26"/>
      <c r="F93" s="6"/>
    </row>
    <row r="94" spans="1:16" x14ac:dyDescent="0.2">
      <c r="B94" s="6"/>
      <c r="E94" s="26"/>
      <c r="F94" s="6"/>
    </row>
    <row r="95" spans="1:16" x14ac:dyDescent="0.2">
      <c r="B95" s="6"/>
      <c r="E95" s="26"/>
      <c r="F95" s="6"/>
    </row>
    <row r="96" spans="1:16" x14ac:dyDescent="0.2">
      <c r="B96" s="6"/>
      <c r="E96" s="26"/>
      <c r="F96" s="6"/>
    </row>
    <row r="97" spans="2:6" x14ac:dyDescent="0.2">
      <c r="B97" s="6"/>
      <c r="E97" s="26"/>
      <c r="F97" s="6"/>
    </row>
    <row r="98" spans="2:6" x14ac:dyDescent="0.2">
      <c r="B98" s="6"/>
      <c r="E98" s="26"/>
      <c r="F98" s="6"/>
    </row>
    <row r="99" spans="2:6" x14ac:dyDescent="0.2">
      <c r="B99" s="6"/>
      <c r="E99" s="26"/>
      <c r="F99" s="6"/>
    </row>
    <row r="100" spans="2:6" x14ac:dyDescent="0.2">
      <c r="B100" s="6"/>
      <c r="E100" s="26"/>
      <c r="F100" s="6"/>
    </row>
    <row r="101" spans="2:6" x14ac:dyDescent="0.2">
      <c r="B101" s="6"/>
      <c r="E101" s="26"/>
      <c r="F101" s="6"/>
    </row>
    <row r="102" spans="2:6" x14ac:dyDescent="0.2">
      <c r="B102" s="6"/>
      <c r="E102" s="26"/>
      <c r="F102" s="6"/>
    </row>
    <row r="103" spans="2:6" x14ac:dyDescent="0.2">
      <c r="B103" s="6"/>
      <c r="E103" s="26"/>
      <c r="F103" s="6"/>
    </row>
    <row r="104" spans="2:6" x14ac:dyDescent="0.2">
      <c r="B104" s="6"/>
      <c r="E104" s="26"/>
      <c r="F104" s="6"/>
    </row>
    <row r="105" spans="2:6" x14ac:dyDescent="0.2">
      <c r="B105" s="6"/>
      <c r="E105" s="26"/>
      <c r="F105" s="6"/>
    </row>
    <row r="106" spans="2:6" x14ac:dyDescent="0.2">
      <c r="B106" s="6"/>
      <c r="E106" s="26"/>
      <c r="F106" s="6"/>
    </row>
    <row r="107" spans="2:6" x14ac:dyDescent="0.2">
      <c r="B107" s="6"/>
      <c r="E107" s="26"/>
      <c r="F107" s="6"/>
    </row>
    <row r="108" spans="2:6" x14ac:dyDescent="0.2">
      <c r="B108" s="6"/>
      <c r="E108" s="26"/>
      <c r="F108" s="6"/>
    </row>
    <row r="109" spans="2:6" x14ac:dyDescent="0.2">
      <c r="B109" s="6"/>
      <c r="E109" s="26"/>
      <c r="F109" s="6"/>
    </row>
    <row r="110" spans="2:6" x14ac:dyDescent="0.2">
      <c r="B110" s="6"/>
      <c r="E110" s="26"/>
      <c r="F110" s="6"/>
    </row>
    <row r="111" spans="2:6" x14ac:dyDescent="0.2">
      <c r="B111" s="6"/>
      <c r="E111" s="26"/>
      <c r="F111" s="6"/>
    </row>
    <row r="112" spans="2:6" x14ac:dyDescent="0.2">
      <c r="B112" s="6"/>
      <c r="E112" s="2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</sheetData>
  <phoneticPr fontId="19" type="noConversion"/>
  <hyperlinks>
    <hyperlink ref="P71" r:id="rId1" display="http://www.bav-astro.de/sfs/BAVM_link.php?BAVMnr=43" xr:uid="{00000000-0004-0000-0100-000000000000}"/>
    <hyperlink ref="P18" r:id="rId2" display="http://var.astro.cz/oejv/issues/oejv0074.pdf" xr:uid="{00000000-0004-0000-0100-000001000000}"/>
    <hyperlink ref="P19" r:id="rId3" display="http://www.bav-astro.de/sfs/BAVM_link.php?BAVMnr=158" xr:uid="{00000000-0004-0000-0100-000002000000}"/>
    <hyperlink ref="P20" r:id="rId4" display="http://www.konkoly.hu/cgi-bin/IBVS?5676" xr:uid="{00000000-0004-0000-0100-000003000000}"/>
    <hyperlink ref="P21" r:id="rId5" display="http://www.bav-astro.de/sfs/BAVM_link.php?BAVMnr=172" xr:uid="{00000000-0004-0000-0100-000004000000}"/>
    <hyperlink ref="P22" r:id="rId6" display="http://var.astro.cz/oejv/issues/oejv0003.pdf" xr:uid="{00000000-0004-0000-0100-000005000000}"/>
    <hyperlink ref="P23" r:id="rId7" display="http://www.bav-astro.de/sfs/BAVM_link.php?BAVMnr=173" xr:uid="{00000000-0004-0000-0100-000006000000}"/>
    <hyperlink ref="P24" r:id="rId8" display="http://www.bav-astro.de/sfs/BAVM_link.php?BAVMnr=173" xr:uid="{00000000-0004-0000-0100-000007000000}"/>
    <hyperlink ref="P25" r:id="rId9" display="http://www.konkoly.hu/cgi-bin/IBVS?5741" xr:uid="{00000000-0004-0000-0100-000008000000}"/>
    <hyperlink ref="P26" r:id="rId10" display="http://www.bav-astro.de/sfs/BAVM_link.php?BAVMnr=178" xr:uid="{00000000-0004-0000-0100-000009000000}"/>
    <hyperlink ref="P27" r:id="rId11" display="http://www.bav-astro.de/sfs/BAVM_link.php?BAVMnr=178" xr:uid="{00000000-0004-0000-0100-00000A000000}"/>
    <hyperlink ref="P28" r:id="rId12" display="http://var.astro.cz/oejv/issues/oejv0074.pdf" xr:uid="{00000000-0004-0000-0100-00000B000000}"/>
    <hyperlink ref="P80" r:id="rId13" display="http://vsolj.cetus-net.org/no46.pdf" xr:uid="{00000000-0004-0000-0100-00000C000000}"/>
    <hyperlink ref="P29" r:id="rId14" display="http://www.konkoly.hu/cgi-bin/IBVS?5910" xr:uid="{00000000-0004-0000-0100-00000D000000}"/>
    <hyperlink ref="P30" r:id="rId15" display="http://www.konkoly.hu/cgi-bin/IBVS?5910" xr:uid="{00000000-0004-0000-0100-00000E000000}"/>
    <hyperlink ref="P31" r:id="rId16" display="http://www.konkoly.hu/cgi-bin/IBVS?5910" xr:uid="{00000000-0004-0000-0100-00000F000000}"/>
    <hyperlink ref="P32" r:id="rId17" display="http://www.konkoly.hu/cgi-bin/IBVS?5910" xr:uid="{00000000-0004-0000-0100-000010000000}"/>
    <hyperlink ref="P83" r:id="rId18" display="http://vsolj.cetus-net.org/no48.pdf" xr:uid="{00000000-0004-0000-0100-000011000000}"/>
    <hyperlink ref="P33" r:id="rId19" display="http://www.konkoly.hu/cgi-bin/IBVS?5910" xr:uid="{00000000-0004-0000-0100-000012000000}"/>
    <hyperlink ref="P34" r:id="rId20" display="http://www.konkoly.hu/cgi-bin/IBVS?5910" xr:uid="{00000000-0004-0000-0100-000013000000}"/>
    <hyperlink ref="P35" r:id="rId21" display="http://www.konkoly.hu/cgi-bin/IBVS?5910" xr:uid="{00000000-0004-0000-0100-000014000000}"/>
    <hyperlink ref="P36" r:id="rId22" display="http://www.konkoly.hu/cgi-bin/IBVS?5910" xr:uid="{00000000-0004-0000-0100-000015000000}"/>
    <hyperlink ref="P84" r:id="rId23" display="http://www.konkoly.hu/cgi-bin/IBVS?5972" xr:uid="{00000000-0004-0000-0100-000016000000}"/>
    <hyperlink ref="P85" r:id="rId24" display="http://www.konkoly.hu/cgi-bin/IBVS?5972" xr:uid="{00000000-0004-0000-0100-000017000000}"/>
    <hyperlink ref="P38" r:id="rId25" display="http://www.konkoly.hu/cgi-bin/IBVS?5945" xr:uid="{00000000-0004-0000-0100-000018000000}"/>
    <hyperlink ref="P86" r:id="rId26" display="http://vsolj.cetus-net.org/vsoljno53.pdf" xr:uid="{00000000-0004-0000-0100-000019000000}"/>
    <hyperlink ref="P40" r:id="rId27" display="http://www.konkoly.hu/cgi-bin/IBVS?5992" xr:uid="{00000000-0004-0000-0100-00001A000000}"/>
    <hyperlink ref="P87" r:id="rId28" display="http://www.bav-astro.de/sfs/BAVM_link.php?BAVMnr=225" xr:uid="{00000000-0004-0000-0100-00001B000000}"/>
    <hyperlink ref="P41" r:id="rId29" display="http://www.bav-astro.de/sfs/BAVM_link.php?BAVMnr=220" xr:uid="{00000000-0004-0000-0100-00001C000000}"/>
    <hyperlink ref="P88" r:id="rId30" display="http://www.bav-astro.de/sfs/BAVM_link.php?BAVMnr=220" xr:uid="{00000000-0004-0000-0100-00001D000000}"/>
    <hyperlink ref="P89" r:id="rId31" display="http://vsolj.cetus-net.org/vsoljno59.pdf" xr:uid="{00000000-0004-0000-0100-00001E000000}"/>
    <hyperlink ref="P90" r:id="rId32" display="http://vsolj.cetus-net.org/vsoljno59.pdf" xr:uid="{00000000-0004-0000-0100-00001F000000}"/>
    <hyperlink ref="P43" r:id="rId33" display="http://www.bav-astro.de/sfs/BAVM_link.php?BAVMnr=239" xr:uid="{00000000-0004-0000-0100-000020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6"/>
  <sheetViews>
    <sheetView workbookViewId="0">
      <selection activeCell="N14" sqref="N14"/>
    </sheetView>
  </sheetViews>
  <sheetFormatPr defaultColWidth="10.28515625" defaultRowHeight="12.75" x14ac:dyDescent="0.2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29</v>
      </c>
    </row>
    <row r="2" spans="1:4" x14ac:dyDescent="0.2">
      <c r="A2" t="s">
        <v>25</v>
      </c>
    </row>
    <row r="4" spans="1:4" x14ac:dyDescent="0.2">
      <c r="A4" s="8" t="s">
        <v>0</v>
      </c>
      <c r="C4" s="3">
        <v>31162.5</v>
      </c>
      <c r="D4" s="4">
        <v>1.40557</v>
      </c>
    </row>
    <row r="6" spans="1:4" x14ac:dyDescent="0.2">
      <c r="A6" s="8" t="s">
        <v>1</v>
      </c>
    </row>
    <row r="7" spans="1:4" x14ac:dyDescent="0.2">
      <c r="A7" t="s">
        <v>2</v>
      </c>
      <c r="C7">
        <f>+C4</f>
        <v>31162.5</v>
      </c>
    </row>
    <row r="8" spans="1:4" x14ac:dyDescent="0.2">
      <c r="A8" t="s">
        <v>3</v>
      </c>
      <c r="C8">
        <v>1.4054608917228706</v>
      </c>
    </row>
    <row r="10" spans="1:4" ht="13.5" thickBot="1" x14ac:dyDescent="0.25">
      <c r="C10" s="7" t="s">
        <v>20</v>
      </c>
      <c r="D10" s="7" t="s">
        <v>21</v>
      </c>
    </row>
    <row r="11" spans="1:4" x14ac:dyDescent="0.2">
      <c r="A11" t="s">
        <v>16</v>
      </c>
      <c r="C11">
        <f>INTERCEPT(G21:G999,F21:F999)</f>
        <v>-8.8371694807808081E-3</v>
      </c>
      <c r="D11" s="6"/>
    </row>
    <row r="12" spans="1:4" x14ac:dyDescent="0.2">
      <c r="A12" t="s">
        <v>17</v>
      </c>
      <c r="C12">
        <f>SLOPE(G21:G999,F21:F999)</f>
        <v>1.8665308915214822E-16</v>
      </c>
      <c r="D12" s="6"/>
    </row>
    <row r="13" spans="1:4" x14ac:dyDescent="0.2">
      <c r="A13" t="s">
        <v>19</v>
      </c>
      <c r="C13" s="6" t="s">
        <v>14</v>
      </c>
      <c r="D13" s="6"/>
    </row>
    <row r="14" spans="1:4" x14ac:dyDescent="0.2">
      <c r="A14" t="s">
        <v>24</v>
      </c>
    </row>
    <row r="15" spans="1:4" x14ac:dyDescent="0.2">
      <c r="A15" s="5" t="s">
        <v>18</v>
      </c>
      <c r="C15">
        <f>+D15+C8/2</f>
        <v>50517.139730445859</v>
      </c>
      <c r="D15">
        <v>50516.436999999998</v>
      </c>
    </row>
    <row r="16" spans="1:4" x14ac:dyDescent="0.2">
      <c r="A16" s="8" t="s">
        <v>4</v>
      </c>
      <c r="C16">
        <f>+C8+C12</f>
        <v>1.4054608917228708</v>
      </c>
    </row>
    <row r="17" spans="1:32" ht="13.5" thickBot="1" x14ac:dyDescent="0.25"/>
    <row r="18" spans="1:32" x14ac:dyDescent="0.2">
      <c r="A18" s="8" t="s">
        <v>5</v>
      </c>
      <c r="C18" s="3">
        <f>+C15</f>
        <v>50517.139730445859</v>
      </c>
      <c r="D18" s="4">
        <f>+C16</f>
        <v>1.4054608917228708</v>
      </c>
    </row>
    <row r="19" spans="1:32" ht="13.5" thickTop="1" x14ac:dyDescent="0.2"/>
    <row r="20" spans="1:32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40</v>
      </c>
      <c r="J20" s="10" t="s">
        <v>41</v>
      </c>
      <c r="K20" s="10" t="s">
        <v>43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32" x14ac:dyDescent="0.2">
      <c r="A21" t="s">
        <v>12</v>
      </c>
      <c r="C21">
        <v>31162.5</v>
      </c>
      <c r="D21" s="6" t="s">
        <v>14</v>
      </c>
      <c r="E21">
        <f t="shared" ref="E21:E30" si="0">+(C21-C$7)/C$8</f>
        <v>0</v>
      </c>
      <c r="F21">
        <f>ROUND(2*E21,0)/2</f>
        <v>0</v>
      </c>
      <c r="G21">
        <v>0</v>
      </c>
      <c r="H21" s="12">
        <f>G21</f>
        <v>0</v>
      </c>
      <c r="O21">
        <f t="shared" ref="O21:O30" si="1">+C$11+C$12*F21</f>
        <v>-8.8371694807808081E-3</v>
      </c>
      <c r="Q21" s="2">
        <f t="shared" ref="Q21:Q30" si="2">+C21-15018.5</f>
        <v>16144</v>
      </c>
    </row>
    <row r="22" spans="1:32" x14ac:dyDescent="0.2">
      <c r="A22" t="s">
        <v>32</v>
      </c>
      <c r="C22">
        <v>47649.375</v>
      </c>
      <c r="D22" s="6"/>
      <c r="E22">
        <f t="shared" si="0"/>
        <v>11730.582542065418</v>
      </c>
      <c r="F22">
        <f t="shared" ref="F22:F30" si="3">ROUND(2*E22,0)/2</f>
        <v>11730.5</v>
      </c>
      <c r="G22">
        <f t="shared" ref="G22:G30" si="4">+C22-(C$7+F22*C$8)</f>
        <v>0.11600964486569865</v>
      </c>
      <c r="J22">
        <f>G22</f>
        <v>0.11600964486569865</v>
      </c>
      <c r="O22">
        <f t="shared" si="1"/>
        <v>-8.8371694785912749E-3</v>
      </c>
      <c r="Q22" s="2">
        <f t="shared" si="2"/>
        <v>32630.875</v>
      </c>
      <c r="AA22" t="s">
        <v>30</v>
      </c>
      <c r="AB22">
        <v>11</v>
      </c>
      <c r="AD22" t="s">
        <v>31</v>
      </c>
      <c r="AF22" t="s">
        <v>33</v>
      </c>
    </row>
    <row r="23" spans="1:32" x14ac:dyDescent="0.2">
      <c r="A23" t="s">
        <v>34</v>
      </c>
      <c r="C23">
        <v>47946.500999999997</v>
      </c>
      <c r="D23" s="6"/>
      <c r="E23">
        <f t="shared" si="0"/>
        <v>11941.990772454359</v>
      </c>
      <c r="F23">
        <f t="shared" si="3"/>
        <v>11942</v>
      </c>
      <c r="G23">
        <f t="shared" si="4"/>
        <v>-1.296895452105673E-2</v>
      </c>
      <c r="I23">
        <f>G23</f>
        <v>-1.296895452105673E-2</v>
      </c>
      <c r="O23">
        <f t="shared" si="1"/>
        <v>-8.8371694785517978E-3</v>
      </c>
      <c r="Q23" s="2">
        <f t="shared" si="2"/>
        <v>32928.000999999997</v>
      </c>
      <c r="AA23" t="s">
        <v>30</v>
      </c>
      <c r="AF23" t="s">
        <v>35</v>
      </c>
    </row>
    <row r="24" spans="1:32" x14ac:dyDescent="0.2">
      <c r="A24" t="s">
        <v>34</v>
      </c>
      <c r="C24">
        <v>47970.442000000003</v>
      </c>
      <c r="D24" s="6"/>
      <c r="E24">
        <f t="shared" si="0"/>
        <v>11959.02504223803</v>
      </c>
      <c r="F24">
        <f t="shared" si="3"/>
        <v>11959</v>
      </c>
      <c r="G24">
        <f t="shared" si="4"/>
        <v>3.5195886193832848E-2</v>
      </c>
      <c r="I24">
        <f>G24</f>
        <v>3.5195886193832848E-2</v>
      </c>
      <c r="O24">
        <f t="shared" si="1"/>
        <v>-8.8371694785486232E-3</v>
      </c>
      <c r="Q24" s="2">
        <f t="shared" si="2"/>
        <v>32951.942000000003</v>
      </c>
      <c r="AA24" t="s">
        <v>30</v>
      </c>
      <c r="AF24" t="s">
        <v>35</v>
      </c>
    </row>
    <row r="25" spans="1:32" x14ac:dyDescent="0.2">
      <c r="A25" t="s">
        <v>34</v>
      </c>
      <c r="C25">
        <v>48274.599000000002</v>
      </c>
      <c r="D25" s="6"/>
      <c r="E25">
        <f t="shared" si="0"/>
        <v>12175.435902042997</v>
      </c>
      <c r="F25">
        <f t="shared" si="3"/>
        <v>12175.5</v>
      </c>
      <c r="G25">
        <f t="shared" si="4"/>
        <v>-9.0087171804043464E-2</v>
      </c>
      <c r="I25">
        <f>G25</f>
        <v>-9.0087171804043464E-2</v>
      </c>
      <c r="O25">
        <f t="shared" si="1"/>
        <v>-8.8371694785082128E-3</v>
      </c>
      <c r="Q25" s="2">
        <f t="shared" si="2"/>
        <v>33256.099000000002</v>
      </c>
      <c r="AA25" t="s">
        <v>30</v>
      </c>
      <c r="AF25" t="s">
        <v>35</v>
      </c>
    </row>
    <row r="26" spans="1:32" x14ac:dyDescent="0.2">
      <c r="A26" t="s">
        <v>37</v>
      </c>
      <c r="C26">
        <v>48362.411</v>
      </c>
      <c r="D26" s="6"/>
      <c r="E26">
        <f t="shared" si="0"/>
        <v>12237.915050710273</v>
      </c>
      <c r="F26">
        <f t="shared" si="3"/>
        <v>12238</v>
      </c>
      <c r="G26">
        <f t="shared" si="4"/>
        <v>-0.11939290448935935</v>
      </c>
      <c r="J26">
        <f>G26</f>
        <v>-0.11939290448935935</v>
      </c>
      <c r="O26">
        <f t="shared" si="1"/>
        <v>-8.8371694784965468E-3</v>
      </c>
      <c r="Q26" s="2">
        <f t="shared" si="2"/>
        <v>33343.911</v>
      </c>
      <c r="AA26" t="s">
        <v>30</v>
      </c>
      <c r="AB26">
        <v>7</v>
      </c>
      <c r="AD26" t="s">
        <v>36</v>
      </c>
      <c r="AF26" t="s">
        <v>33</v>
      </c>
    </row>
    <row r="27" spans="1:32" x14ac:dyDescent="0.2">
      <c r="A27" t="s">
        <v>34</v>
      </c>
      <c r="C27">
        <v>48677.347000000002</v>
      </c>
      <c r="D27" s="6"/>
      <c r="E27">
        <f t="shared" si="0"/>
        <v>12461.995280800447</v>
      </c>
      <c r="F27">
        <f t="shared" si="3"/>
        <v>12462</v>
      </c>
      <c r="G27">
        <f t="shared" si="4"/>
        <v>-6.6326504093012773E-3</v>
      </c>
      <c r="I27">
        <f>G27</f>
        <v>-6.6326504093012773E-3</v>
      </c>
      <c r="O27">
        <f t="shared" si="1"/>
        <v>-8.8371694784547365E-3</v>
      </c>
      <c r="Q27" s="2">
        <f t="shared" si="2"/>
        <v>33658.847000000002</v>
      </c>
      <c r="AA27" t="s">
        <v>30</v>
      </c>
      <c r="AF27" t="s">
        <v>35</v>
      </c>
    </row>
    <row r="28" spans="1:32" x14ac:dyDescent="0.2">
      <c r="A28" t="s">
        <v>34</v>
      </c>
      <c r="C28">
        <v>49002.633000000002</v>
      </c>
      <c r="D28" s="6"/>
      <c r="E28">
        <f t="shared" si="0"/>
        <v>12693.439643226819</v>
      </c>
      <c r="F28">
        <f t="shared" si="3"/>
        <v>12693.5</v>
      </c>
      <c r="G28">
        <f t="shared" si="4"/>
        <v>-8.4829084255034104E-2</v>
      </c>
      <c r="I28">
        <f>G28</f>
        <v>-8.4829084255034104E-2</v>
      </c>
      <c r="O28">
        <f t="shared" si="1"/>
        <v>-8.8371694784115263E-3</v>
      </c>
      <c r="Q28" s="2">
        <f t="shared" si="2"/>
        <v>33984.133000000002</v>
      </c>
      <c r="AA28" t="s">
        <v>30</v>
      </c>
      <c r="AF28" t="s">
        <v>35</v>
      </c>
    </row>
    <row r="29" spans="1:32" x14ac:dyDescent="0.2">
      <c r="A29" t="s">
        <v>39</v>
      </c>
      <c r="C29">
        <v>50516.436999999998</v>
      </c>
      <c r="D29">
        <v>7.0000000000000001E-3</v>
      </c>
      <c r="E29">
        <f t="shared" si="0"/>
        <v>13770.526888354156</v>
      </c>
      <c r="F29">
        <f t="shared" si="3"/>
        <v>13770.5</v>
      </c>
      <c r="G29">
        <f t="shared" si="4"/>
        <v>3.7790530208440032E-2</v>
      </c>
      <c r="J29">
        <f>G29</f>
        <v>3.7790530208440032E-2</v>
      </c>
      <c r="O29">
        <f t="shared" si="1"/>
        <v>-8.8371694782105013E-3</v>
      </c>
      <c r="Q29" s="2">
        <f t="shared" si="2"/>
        <v>35497.936999999998</v>
      </c>
      <c r="AA29" t="s">
        <v>38</v>
      </c>
      <c r="AB29">
        <v>27</v>
      </c>
      <c r="AD29" t="s">
        <v>31</v>
      </c>
      <c r="AF29" t="s">
        <v>33</v>
      </c>
    </row>
    <row r="30" spans="1:32" x14ac:dyDescent="0.2">
      <c r="A30" t="s">
        <v>42</v>
      </c>
      <c r="B30" s="6" t="s">
        <v>44</v>
      </c>
      <c r="C30" s="11">
        <v>52703.332900000001</v>
      </c>
      <c r="D30" s="11">
        <v>2.9999999999999997E-4</v>
      </c>
      <c r="E30">
        <f t="shared" si="0"/>
        <v>15326.52600073018</v>
      </c>
      <c r="F30">
        <f t="shared" si="3"/>
        <v>15326.5</v>
      </c>
      <c r="G30">
        <f t="shared" si="4"/>
        <v>3.6543009424349293E-2</v>
      </c>
      <c r="K30">
        <f>G30</f>
        <v>3.6543009424349293E-2</v>
      </c>
      <c r="O30">
        <f t="shared" si="1"/>
        <v>-8.8371694779200687E-3</v>
      </c>
      <c r="Q30" s="2">
        <f t="shared" si="2"/>
        <v>37684.832900000001</v>
      </c>
    </row>
    <row r="31" spans="1:32" x14ac:dyDescent="0.2">
      <c r="D31" s="6"/>
    </row>
    <row r="32" spans="1:32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</sheetData>
  <sheetProtection sheet="1"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2024-02-17T06:56:26Z</dcterms:modified>
</cp:coreProperties>
</file>