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7347106-4E5A-4B48-99B4-7CCE637C4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6" i="1" l="1"/>
  <c r="D18" i="1" s="1"/>
  <c r="C11" i="1"/>
  <c r="O23" i="1" l="1"/>
  <c r="S23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<sst xmlns="http://schemas.openxmlformats.org/spreadsheetml/2006/main" count="57" uniqueCount="52">
  <si>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</si>
  <si>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</si>
  <si>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</si>
  <si>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</si>
  <si>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</si>
  <si>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</si>
  <si>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</si>
  <si>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</si>
  <si>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</si>
  <si>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</si>
  <si>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</si>
  <si>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</si>
  <si>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</si>
  <si>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</si>
  <si>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</si>
  <si>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</si>
  <si>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</si>
  <si>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</si>
  <si>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</si>
  <si>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</si>
  <si>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</si>
  <si>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</si>
  <si>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</si>
  <si>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</si>
  <si>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</si>
  <si>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</si>
  <si>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</si>
  <si>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</si>
  <si>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</si>
  <si>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</si>
  <si>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</si>
  <si>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</si>
  <si>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</si>
  <si>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</si>
  <si>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</si>
  <si>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</si>
  <si>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</si>
  <si>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</si>
  <si>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</si>
  <si>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</si>
  <si>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</si>
  <si>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</si>
  <si>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G5351-0457</t>
  </si>
  <si>
    <t>G5351-0457_Lep.xls</t>
  </si>
  <si>
    <t>EA / EB</t>
  </si>
  <si>
    <t>Lep</t>
  </si>
  <si>
    <t>VSX</t>
  </si>
  <si>
    <t>IBVS 6029</t>
  </si>
  <si>
    <t>I</t>
  </si>
  <si>
    <t>IBVS 6063</t>
  </si>
  <si>
    <t>NSVS 15020013 / GSC 5351-0457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</si>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</sst>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5351-0457 -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91-4DE5-9CC3-FEF2D27A12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9.3359999955282547E-3</c:v>
                </c:pt>
                <c:pt idx="2">
                  <c:v>1.3443999996525235E-2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91-4DE5-9CC3-FEF2D27A12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91-4DE5-9CC3-FEF2D27A12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91-4DE5-9CC3-FEF2D27A12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91-4DE5-9CC3-FEF2D27A12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91-4DE5-9CC3-FEF2D27A12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91-4DE5-9CC3-FEF2D27A12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-1.696843142308677E-4</c:v>
                </c:pt>
                <c:pt idx="1">
                  <c:v>1.0706264784317226E-2</c:v>
                </c:pt>
                <c:pt idx="2">
                  <c:v>1.2243419521967135E-2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91-4DE5-9CC3-FEF2D27A122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2816</c:v>
                </c:pt>
                <c:pt idx="2">
                  <c:v>3214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91-4DE5-9CC3-FEF2D27A1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295104"/>
        <c:axId val="1"/>
      </c:scatterChart>
      <c:valAx>
        <c:axId val="541295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295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23CD48-4B88-D18C-0384-0DB763561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s="3" customFormat="1" ht="12.95" customHeight="1" x14ac:dyDescent="0.2">
      <c r="A2" s="3" t="s">
        <v>24</v>
      </c>
      <c r="B2" s="3" t="s">
        <v>44</v>
      </c>
      <c r="C2" s="4" t="s">
        <v>41</v>
      </c>
      <c r="D2" s="5" t="s">
        <v>45</v>
      </c>
      <c r="E2" s="6" t="s">
        <v>42</v>
      </c>
      <c r="F2" s="3" t="s">
        <v>42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7" s="3" customFormat="1" ht="12.95" customHeight="1" x14ac:dyDescent="0.2"/>
    <row r="6" spans="1:7" s="3" customFormat="1" ht="12.95" customHeight="1" x14ac:dyDescent="0.2">
      <c r="A6" s="7" t="s">
        <v>1</v>
      </c>
    </row>
    <row r="7" spans="1:7" s="3" customFormat="1" ht="12.95" customHeight="1" x14ac:dyDescent="0.2">
      <c r="A7" s="3" t="s">
        <v>2</v>
      </c>
      <c r="C7" s="10">
        <v>53415.622000000003</v>
      </c>
      <c r="D7" s="11" t="s">
        <v>46</v>
      </c>
    </row>
    <row r="8" spans="1:7" s="3" customFormat="1" ht="12.95" customHeight="1" x14ac:dyDescent="0.2">
      <c r="A8" s="3" t="s">
        <v>3</v>
      </c>
      <c r="C8" s="10">
        <v>0.90200400000000003</v>
      </c>
      <c r="D8" s="11" t="s">
        <v>46</v>
      </c>
    </row>
    <row r="9" spans="1:7" s="3" customFormat="1" ht="12.95" customHeight="1" x14ac:dyDescent="0.2">
      <c r="A9" s="12" t="s">
        <v>30</v>
      </c>
      <c r="C9" s="13">
        <v>-9.5</v>
      </c>
      <c r="D9" s="3" t="s">
        <v>31</v>
      </c>
    </row>
    <row r="10" spans="1:7" s="3" customFormat="1" ht="12.95" customHeight="1" thickBot="1" x14ac:dyDescent="0.25">
      <c r="C10" s="14" t="s">
        <v>20</v>
      </c>
      <c r="D10" s="14" t="s">
        <v>21</v>
      </c>
    </row>
    <row r="11" spans="1:7" s="3" customFormat="1" ht="12.95" customHeight="1" x14ac:dyDescent="0.2">
      <c r="A11" s="3" t="s">
        <v>15</v>
      </c>
      <c r="C11" s="15">
        <f ca="1">INTERCEPT(INDIRECT($G$11):G992,INDIRECT($F$11):F992)</f>
        <v>-1.696843142308677E-4</v>
      </c>
      <c r="D11" s="5"/>
      <c r="F11" s="16" t="str">
        <f>"F"&amp;E19</f>
        <v>F21</v>
      </c>
      <c r="G11" s="15" t="str">
        <f>"G"&amp;E19</f>
        <v>G21</v>
      </c>
    </row>
    <row r="12" spans="1:7" s="3" customFormat="1" ht="12.95" customHeight="1" x14ac:dyDescent="0.2">
      <c r="A12" s="3" t="s">
        <v>16</v>
      </c>
      <c r="C12" s="15">
        <f ca="1">SLOPE(INDIRECT($G$11):G992,INDIRECT($F$11):F992)</f>
        <v>3.8621978332912262E-6</v>
      </c>
      <c r="D12" s="5"/>
    </row>
    <row r="13" spans="1:7" s="3" customFormat="1" ht="12.95" customHeight="1" x14ac:dyDescent="0.2">
      <c r="A13" s="3" t="s">
        <v>19</v>
      </c>
      <c r="C13" s="5" t="s">
        <v>13</v>
      </c>
      <c r="D13" s="17" t="s">
        <v>37</v>
      </c>
      <c r="E13" s="13">
        <v>1</v>
      </c>
    </row>
    <row r="14" spans="1:7" s="3" customFormat="1" ht="12.95" customHeight="1" x14ac:dyDescent="0.2">
      <c r="D14" s="17" t="s">
        <v>32</v>
      </c>
      <c r="E14" s="18">
        <f ca="1">NOW()+15018.5+$C$9/24</f>
        <v>60358.690127662034</v>
      </c>
    </row>
    <row r="15" spans="1:7" s="3" customFormat="1" ht="12.95" customHeight="1" x14ac:dyDescent="0.2">
      <c r="A15" s="19" t="s">
        <v>17</v>
      </c>
      <c r="C15" s="20">
        <f ca="1">(C7+C11)+(C8+C12)*INT(MAX(F21:F3533))</f>
        <v>56314.675099419524</v>
      </c>
      <c r="D15" s="17" t="s">
        <v>38</v>
      </c>
      <c r="E15" s="18">
        <f ca="1">ROUND(2*(E14-$C$7)/$C$8,0)/2+E13</f>
        <v>7698.5</v>
      </c>
    </row>
    <row r="16" spans="1:7" s="3" customFormat="1" ht="12.95" customHeight="1" x14ac:dyDescent="0.2">
      <c r="A16" s="7" t="s">
        <v>4</v>
      </c>
      <c r="C16" s="21">
        <f ca="1">+C8+C12</f>
        <v>0.90200786219783335</v>
      </c>
      <c r="D16" s="17" t="s">
        <v>39</v>
      </c>
      <c r="E16" s="15">
        <f ca="1">ROUND(2*(E14-$C$15)/$C$16,0)/2+E13</f>
        <v>4484.5</v>
      </c>
    </row>
    <row r="17" spans="1:19" s="3" customFormat="1" ht="12.95" customHeight="1" thickBot="1" x14ac:dyDescent="0.25">
      <c r="A17" s="17" t="s">
        <v>29</v>
      </c>
      <c r="C17" s="3">
        <f>COUNT(C21:C2191)</f>
        <v>3</v>
      </c>
      <c r="D17" s="17" t="s">
        <v>33</v>
      </c>
      <c r="E17" s="22">
        <f ca="1">+$C$15+$C$16*E16-15018.5-$C$9/24</f>
        <v>45341.625190779043</v>
      </c>
    </row>
    <row r="18" spans="1:19" s="3" customFormat="1" ht="12.95" customHeight="1" thickTop="1" thickBot="1" x14ac:dyDescent="0.25">
      <c r="A18" s="7" t="s">
        <v>5</v>
      </c>
      <c r="C18" s="23">
        <f ca="1">+C15</f>
        <v>56314.675099419524</v>
      </c>
      <c r="D18" s="24">
        <f ca="1">+C16</f>
        <v>0.90200786219783335</v>
      </c>
      <c r="E18" s="25" t="s">
        <v>34</v>
      </c>
    </row>
    <row r="19" spans="1:19" s="3" customFormat="1" ht="12.95" customHeight="1" thickTop="1" x14ac:dyDescent="0.2">
      <c r="A19" s="26" t="s">
        <v>35</v>
      </c>
      <c r="E19" s="27">
        <v>21</v>
      </c>
      <c r="S19" s="3">
        <f ca="1">SQRT(SUM(S21:S50)/(COUNT(S21:S50)-1))</f>
        <v>1.2937951603289137E-3</v>
      </c>
    </row>
    <row r="20" spans="1:19" s="3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tr">
        <f>A21</f>
        <v>VSX</v>
      </c>
      <c r="I20" s="28" t="s">
        <v>51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36</v>
      </c>
    </row>
    <row r="21" spans="1:19" s="3" customFormat="1" ht="12.95" customHeight="1" x14ac:dyDescent="0.2">
      <c r="A21" s="3" t="str">
        <f>D7</f>
        <v>VSX</v>
      </c>
      <c r="C21" s="31">
        <f>C$7</f>
        <v>53415.622000000003</v>
      </c>
      <c r="D21" s="31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-1.696843142308677E-4</v>
      </c>
      <c r="Q21" s="32">
        <f>+C21-15018.5</f>
        <v>38397.122000000003</v>
      </c>
      <c r="S21" s="3">
        <f ca="1">+(O21-G21)^2</f>
        <v>2.8792766495999849E-8</v>
      </c>
    </row>
    <row r="22" spans="1:19" s="3" customFormat="1" ht="12.95" customHeight="1" x14ac:dyDescent="0.2">
      <c r="A22" s="33" t="s">
        <v>47</v>
      </c>
      <c r="B22" s="34" t="s">
        <v>48</v>
      </c>
      <c r="C22" s="33">
        <v>55955.674599999998</v>
      </c>
      <c r="D22" s="33">
        <v>4.0000000000000002E-4</v>
      </c>
      <c r="E22" s="3">
        <f>+(C22-C$7)/C$8</f>
        <v>2816.01035028669</v>
      </c>
      <c r="F22" s="3">
        <f>ROUND(2*E22,0)/2</f>
        <v>2816</v>
      </c>
      <c r="G22" s="3">
        <f>+C22-(C$7+F22*C$8)</f>
        <v>9.3359999955282547E-3</v>
      </c>
      <c r="I22" s="3">
        <f>+G22</f>
        <v>9.3359999955282547E-3</v>
      </c>
      <c r="O22" s="3">
        <f ca="1">+C$11+C$12*$F22</f>
        <v>1.0706264784317226E-2</v>
      </c>
      <c r="Q22" s="32">
        <f>+C22-15018.5</f>
        <v>40937.174599999998</v>
      </c>
      <c r="S22" s="3">
        <f ca="1">+(O22-G22)^2</f>
        <v>1.8776255913948838E-6</v>
      </c>
    </row>
    <row r="23" spans="1:19" s="3" customFormat="1" ht="12.95" customHeight="1" x14ac:dyDescent="0.2">
      <c r="A23" s="35" t="s">
        <v>49</v>
      </c>
      <c r="B23" s="36" t="s">
        <v>48</v>
      </c>
      <c r="C23" s="37">
        <v>56314.676299999999</v>
      </c>
      <c r="D23" s="37">
        <v>2.9999999999999997E-4</v>
      </c>
      <c r="E23" s="3">
        <f>+(C23-C$7)/C$8</f>
        <v>3214.014904590219</v>
      </c>
      <c r="F23" s="3">
        <f>ROUND(2*E23,0)/2</f>
        <v>3214</v>
      </c>
      <c r="G23" s="3">
        <f>+C23-(C$7+F23*C$8)</f>
        <v>1.3443999996525235E-2</v>
      </c>
      <c r="I23" s="3">
        <f>+G23</f>
        <v>1.3443999996525235E-2</v>
      </c>
      <c r="O23" s="3">
        <f ca="1">+C$11+C$12*$F23</f>
        <v>1.2243419521967135E-2</v>
      </c>
      <c r="Q23" s="32">
        <f>+C23-15018.5</f>
        <v>41296.176299999999</v>
      </c>
      <c r="S23" s="3">
        <f ca="1">+(O23-G23)^2</f>
        <v>1.4413934758901546E-6</v>
      </c>
    </row>
    <row r="24" spans="1:19" s="3" customFormat="1" ht="12.95" customHeight="1" x14ac:dyDescent="0.2">
      <c r="C24" s="31"/>
      <c r="D24" s="31"/>
      <c r="Q24" s="32"/>
    </row>
    <row r="25" spans="1:19" s="3" customFormat="1" ht="12.95" customHeight="1" x14ac:dyDescent="0.2">
      <c r="C25" s="31"/>
      <c r="D25" s="31"/>
      <c r="Q25" s="32"/>
    </row>
    <row r="26" spans="1:19" s="3" customFormat="1" ht="12.95" customHeight="1" x14ac:dyDescent="0.2">
      <c r="C26" s="31"/>
      <c r="D26" s="31"/>
      <c r="Q26" s="32"/>
    </row>
    <row r="27" spans="1:19" s="3" customFormat="1" ht="12.95" customHeight="1" x14ac:dyDescent="0.2">
      <c r="C27" s="31"/>
      <c r="D27" s="31"/>
      <c r="Q27" s="32"/>
    </row>
    <row r="28" spans="1:19" s="3" customFormat="1" ht="12.95" customHeight="1" x14ac:dyDescent="0.2">
      <c r="C28" s="31"/>
      <c r="D28" s="31"/>
      <c r="Q28" s="32"/>
    </row>
    <row r="29" spans="1:19" s="3" customFormat="1" ht="12.95" customHeight="1" x14ac:dyDescent="0.2">
      <c r="C29" s="31"/>
      <c r="D29" s="31"/>
      <c r="Q29" s="32"/>
    </row>
    <row r="30" spans="1:19" s="3" customFormat="1" ht="12.95" customHeight="1" x14ac:dyDescent="0.2">
      <c r="C30" s="31"/>
      <c r="D30" s="31"/>
      <c r="Q30" s="32"/>
    </row>
    <row r="31" spans="1:19" s="3" customFormat="1" ht="12.95" customHeight="1" x14ac:dyDescent="0.2">
      <c r="C31" s="31"/>
      <c r="D31" s="31"/>
      <c r="Q31" s="32"/>
    </row>
    <row r="32" spans="1:19" s="3" customFormat="1" ht="12.95" customHeight="1" x14ac:dyDescent="0.2">
      <c r="C32" s="31"/>
      <c r="D32" s="31"/>
      <c r="Q32" s="32"/>
    </row>
    <row r="33" spans="3:17" s="3" customFormat="1" ht="12.95" customHeight="1" x14ac:dyDescent="0.2">
      <c r="C33" s="31"/>
      <c r="D33" s="31"/>
      <c r="Q33" s="32"/>
    </row>
    <row r="34" spans="3:17" s="3" customFormat="1" ht="12.95" customHeight="1" x14ac:dyDescent="0.2">
      <c r="C34" s="31"/>
      <c r="D34" s="31"/>
    </row>
    <row r="35" spans="3:17" s="3" customFormat="1" ht="12.95" customHeight="1" x14ac:dyDescent="0.2">
      <c r="C35" s="31"/>
      <c r="D35" s="31"/>
    </row>
    <row r="36" spans="3:17" s="3" customFormat="1" ht="12.95" customHeight="1" x14ac:dyDescent="0.2">
      <c r="C36" s="31"/>
      <c r="D36" s="31"/>
    </row>
    <row r="37" spans="3:17" s="3" customFormat="1" ht="12.95" customHeight="1" x14ac:dyDescent="0.2">
      <c r="C37" s="31"/>
      <c r="D37" s="31"/>
    </row>
    <row r="38" spans="3:17" s="3" customFormat="1" ht="12.95" customHeight="1" x14ac:dyDescent="0.2">
      <c r="C38" s="31"/>
      <c r="D38" s="31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2024-02-18T03:33:47Z</dcterms:modified>
</cp:coreProperties>
</file>